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autoCompressPictures="0"/>
  <mc:AlternateContent xmlns:mc="http://schemas.openxmlformats.org/markup-compatibility/2006">
    <mc:Choice Requires="x15">
      <x15ac:absPath xmlns:x15ac="http://schemas.microsoft.com/office/spreadsheetml/2010/11/ac" url="/Users/pattischaefer/Dropbox/AAA.DROPBOX FOLDERS/a.RAUCH FOUNDATION/a.CHILDREN and FAMILIES/COMMS and Research/"/>
    </mc:Choice>
  </mc:AlternateContent>
  <bookViews>
    <workbookView xWindow="0" yWindow="460" windowWidth="25600" windowHeight="16020" tabRatio="656"/>
  </bookViews>
  <sheets>
    <sheet name="Summary" sheetId="9" r:id="rId1"/>
    <sheet name="Prenatal" sheetId="35" r:id="rId2"/>
    <sheet name="Summary 0-2+" sheetId="34" r:id="rId3"/>
    <sheet name="Summary Prenatal to 2" sheetId="39" r:id="rId4"/>
    <sheet name="Summary 3-4+" sheetId="21" r:id="rId5"/>
    <sheet name="Summary Prenatal to 4 " sheetId="37" r:id="rId6"/>
    <sheet name="Summary 5-11+" sheetId="22" r:id="rId7"/>
    <sheet name="Summary 12-18" sheetId="25" r:id="rId8"/>
    <sheet name="Pop Data" sheetId="10" r:id="rId9"/>
    <sheet name="Low Income Pop" sheetId="29" r:id="rId10"/>
    <sheet name="K-12 Educ" sheetId="1" r:id="rId11"/>
    <sheet name="Early Intervention" sheetId="23" r:id="rId12"/>
    <sheet name="Head Start" sheetId="3" r:id="rId13"/>
    <sheet name="PreSchool" sheetId="5" r:id="rId14"/>
    <sheet name="Medicaid" sheetId="6" r:id="rId15"/>
    <sheet name="CHIP" sheetId="12" r:id="rId16"/>
    <sheet name="Mental Health" sheetId="20" r:id="rId17"/>
    <sheet name="Immunizations" sheetId="26" r:id="rId18"/>
    <sheet name="MCHBG" sheetId="13" r:id="rId19"/>
    <sheet name="Title IV-E" sheetId="7" r:id="rId20"/>
    <sheet name="CW - State and Local Share" sheetId="32" r:id="rId21"/>
    <sheet name="Child Care &amp; Dev Fd" sheetId="17" r:id="rId22"/>
    <sheet name="Title IV-B" sheetId="14" r:id="rId23"/>
    <sheet name="Title IV-D" sheetId="16" r:id="rId24"/>
    <sheet name="Title XX" sheetId="27" r:id="rId25"/>
    <sheet name="TANF" sheetId="15" r:id="rId26"/>
    <sheet name="Nutrition" sheetId="19" r:id="rId27"/>
    <sheet name="Juvenile Justice" sheetId="28" r:id="rId28"/>
    <sheet name="Tax Credits" sheetId="8" r:id="rId29"/>
    <sheet name="Sheet2" sheetId="31" r:id="rId30"/>
    <sheet name="Sheet1" sheetId="40" r:id="rId31"/>
  </sheets>
  <calcPr calcId="15251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P55" i="8" l="1"/>
  <c r="O55" i="8"/>
  <c r="Q53" i="39"/>
  <c r="Q52" i="39"/>
  <c r="Q51" i="39"/>
  <c r="Q50" i="39"/>
  <c r="Q49" i="39"/>
  <c r="Q48" i="39"/>
  <c r="Q47" i="39"/>
  <c r="Q46" i="39"/>
  <c r="Q45" i="39"/>
  <c r="Q44" i="39"/>
  <c r="Q43" i="39"/>
  <c r="Q42" i="39"/>
  <c r="Q41" i="39"/>
  <c r="Q40" i="39"/>
  <c r="Q39" i="39"/>
  <c r="Q38" i="39"/>
  <c r="Q37" i="39"/>
  <c r="Q36" i="39"/>
  <c r="Q35" i="39"/>
  <c r="Q34" i="39"/>
  <c r="Q33" i="39"/>
  <c r="Q32" i="39"/>
  <c r="Q31" i="39"/>
  <c r="Q30" i="39"/>
  <c r="Q29" i="39"/>
  <c r="Q28" i="39"/>
  <c r="Q27" i="39"/>
  <c r="Q26" i="39"/>
  <c r="Q25" i="39"/>
  <c r="Q24" i="39"/>
  <c r="Q23" i="39"/>
  <c r="Q22" i="39"/>
  <c r="Q21" i="39"/>
  <c r="Q20" i="39"/>
  <c r="Q19" i="39"/>
  <c r="Q18" i="39"/>
  <c r="Q17" i="39"/>
  <c r="Q16" i="39"/>
  <c r="Q15" i="39"/>
  <c r="Q14" i="39"/>
  <c r="Q13" i="39"/>
  <c r="Q12" i="39"/>
  <c r="Q11" i="39"/>
  <c r="Q10" i="39"/>
  <c r="Q9" i="39"/>
  <c r="Q8" i="39"/>
  <c r="Q7" i="39"/>
  <c r="Q6" i="39"/>
  <c r="Q5" i="39"/>
  <c r="Q4" i="39"/>
  <c r="S53" i="37"/>
  <c r="R53" i="37"/>
  <c r="Q53" i="37"/>
  <c r="P53" i="37"/>
  <c r="O53" i="37"/>
  <c r="N53" i="37"/>
  <c r="M53" i="37"/>
  <c r="L53" i="37"/>
  <c r="K53" i="37"/>
  <c r="J53" i="37"/>
  <c r="I53" i="37"/>
  <c r="H53" i="37"/>
  <c r="G53" i="37"/>
  <c r="F53" i="37"/>
  <c r="E53" i="37"/>
  <c r="D53" i="37"/>
  <c r="C53" i="37"/>
  <c r="S52" i="37"/>
  <c r="R52" i="37"/>
  <c r="Q52" i="37"/>
  <c r="P52" i="37"/>
  <c r="O52" i="37"/>
  <c r="N52" i="37"/>
  <c r="M52" i="37"/>
  <c r="L52" i="37"/>
  <c r="K52" i="37"/>
  <c r="J52" i="37"/>
  <c r="I52" i="37"/>
  <c r="H52" i="37"/>
  <c r="G52" i="37"/>
  <c r="F52" i="37"/>
  <c r="E52" i="37"/>
  <c r="D52" i="37"/>
  <c r="C52" i="37"/>
  <c r="S51" i="37"/>
  <c r="R51" i="37"/>
  <c r="Q51" i="37"/>
  <c r="P51" i="37"/>
  <c r="O51" i="37"/>
  <c r="N51" i="37"/>
  <c r="M51" i="37"/>
  <c r="L51" i="37"/>
  <c r="K51" i="37"/>
  <c r="J51" i="37"/>
  <c r="I51" i="37"/>
  <c r="H51" i="37"/>
  <c r="G51" i="37"/>
  <c r="F51" i="37"/>
  <c r="E51" i="37"/>
  <c r="D51" i="37"/>
  <c r="C51" i="37"/>
  <c r="S50" i="37"/>
  <c r="R50" i="37"/>
  <c r="Q50" i="37"/>
  <c r="P50" i="37"/>
  <c r="O50" i="37"/>
  <c r="N50" i="37"/>
  <c r="M50" i="37"/>
  <c r="L50" i="37"/>
  <c r="K50" i="37"/>
  <c r="J50" i="37"/>
  <c r="I50" i="37"/>
  <c r="H50" i="37"/>
  <c r="G50" i="37"/>
  <c r="F50" i="37"/>
  <c r="E50" i="37"/>
  <c r="D50" i="37"/>
  <c r="C50" i="37"/>
  <c r="S49" i="37"/>
  <c r="R49" i="37"/>
  <c r="Q49" i="37"/>
  <c r="P49" i="37"/>
  <c r="O49" i="37"/>
  <c r="N49" i="37"/>
  <c r="M49" i="37"/>
  <c r="L49" i="37"/>
  <c r="K49" i="37"/>
  <c r="J49" i="37"/>
  <c r="I49" i="37"/>
  <c r="H49" i="37"/>
  <c r="G49" i="37"/>
  <c r="F49" i="37"/>
  <c r="E49" i="37"/>
  <c r="D49" i="37"/>
  <c r="C49" i="37"/>
  <c r="S48" i="37"/>
  <c r="R48" i="37"/>
  <c r="Q48" i="37"/>
  <c r="P48" i="37"/>
  <c r="O48" i="37"/>
  <c r="N48" i="37"/>
  <c r="M48" i="37"/>
  <c r="L48" i="37"/>
  <c r="K48" i="37"/>
  <c r="J48" i="37"/>
  <c r="I48" i="37"/>
  <c r="H48" i="37"/>
  <c r="G48" i="37"/>
  <c r="F48" i="37"/>
  <c r="E48" i="37"/>
  <c r="D48" i="37"/>
  <c r="C48" i="37"/>
  <c r="S47" i="37"/>
  <c r="R47" i="37"/>
  <c r="Q47" i="37"/>
  <c r="P47" i="37"/>
  <c r="O47" i="37"/>
  <c r="N47" i="37"/>
  <c r="M47" i="37"/>
  <c r="L47" i="37"/>
  <c r="K47" i="37"/>
  <c r="J47" i="37"/>
  <c r="I47" i="37"/>
  <c r="H47" i="37"/>
  <c r="G47" i="37"/>
  <c r="F47" i="37"/>
  <c r="E47" i="37"/>
  <c r="D47" i="37"/>
  <c r="C47" i="37"/>
  <c r="S46" i="37"/>
  <c r="R46" i="37"/>
  <c r="Q46" i="37"/>
  <c r="P46" i="37"/>
  <c r="O46" i="37"/>
  <c r="N46" i="37"/>
  <c r="M46" i="37"/>
  <c r="L46" i="37"/>
  <c r="K46" i="37"/>
  <c r="J46" i="37"/>
  <c r="I46" i="37"/>
  <c r="H46" i="37"/>
  <c r="G46" i="37"/>
  <c r="F46" i="37"/>
  <c r="E46" i="37"/>
  <c r="D46" i="37"/>
  <c r="C46" i="37"/>
  <c r="S45" i="37"/>
  <c r="R45" i="37"/>
  <c r="Q45" i="37"/>
  <c r="P45" i="37"/>
  <c r="O45" i="37"/>
  <c r="N45" i="37"/>
  <c r="M45" i="37"/>
  <c r="L45" i="37"/>
  <c r="K45" i="37"/>
  <c r="J45" i="37"/>
  <c r="I45" i="37"/>
  <c r="H45" i="37"/>
  <c r="G45" i="37"/>
  <c r="F45" i="37"/>
  <c r="E45" i="37"/>
  <c r="D45" i="37"/>
  <c r="C45" i="37"/>
  <c r="S44" i="37"/>
  <c r="R44" i="37"/>
  <c r="Q44" i="37"/>
  <c r="P44" i="37"/>
  <c r="O44" i="37"/>
  <c r="N44" i="37"/>
  <c r="M44" i="37"/>
  <c r="L44" i="37"/>
  <c r="K44" i="37"/>
  <c r="J44" i="37"/>
  <c r="I44" i="37"/>
  <c r="H44" i="37"/>
  <c r="G44" i="37"/>
  <c r="F44" i="37"/>
  <c r="E44" i="37"/>
  <c r="D44" i="37"/>
  <c r="C44" i="37"/>
  <c r="S43" i="37"/>
  <c r="R43" i="37"/>
  <c r="Q43" i="37"/>
  <c r="P43" i="37"/>
  <c r="O43" i="37"/>
  <c r="N43" i="37"/>
  <c r="M43" i="37"/>
  <c r="L43" i="37"/>
  <c r="K43" i="37"/>
  <c r="J43" i="37"/>
  <c r="I43" i="37"/>
  <c r="H43" i="37"/>
  <c r="G43" i="37"/>
  <c r="F43" i="37"/>
  <c r="E43" i="37"/>
  <c r="D43" i="37"/>
  <c r="C43" i="37"/>
  <c r="S42" i="37"/>
  <c r="R42" i="37"/>
  <c r="Q42" i="37"/>
  <c r="P42" i="37"/>
  <c r="O42" i="37"/>
  <c r="N42" i="37"/>
  <c r="M42" i="37"/>
  <c r="L42" i="37"/>
  <c r="K42" i="37"/>
  <c r="J42" i="37"/>
  <c r="I42" i="37"/>
  <c r="H42" i="37"/>
  <c r="G42" i="37"/>
  <c r="F42" i="37"/>
  <c r="E42" i="37"/>
  <c r="D42" i="37"/>
  <c r="C42" i="37"/>
  <c r="S41" i="37"/>
  <c r="R41" i="37"/>
  <c r="Q41" i="37"/>
  <c r="P41" i="37"/>
  <c r="O41" i="37"/>
  <c r="N41" i="37"/>
  <c r="M41" i="37"/>
  <c r="L41" i="37"/>
  <c r="K41" i="37"/>
  <c r="J41" i="37"/>
  <c r="I41" i="37"/>
  <c r="H41" i="37"/>
  <c r="G41" i="37"/>
  <c r="F41" i="37"/>
  <c r="E41" i="37"/>
  <c r="D41" i="37"/>
  <c r="C41" i="37"/>
  <c r="S40" i="37"/>
  <c r="R40" i="37"/>
  <c r="Q40" i="37"/>
  <c r="P40" i="37"/>
  <c r="O40" i="37"/>
  <c r="N40" i="37"/>
  <c r="M40" i="37"/>
  <c r="L40" i="37"/>
  <c r="K40" i="37"/>
  <c r="J40" i="37"/>
  <c r="I40" i="37"/>
  <c r="H40" i="37"/>
  <c r="G40" i="37"/>
  <c r="F40" i="37"/>
  <c r="E40" i="37"/>
  <c r="D40" i="37"/>
  <c r="C40" i="37"/>
  <c r="S39" i="37"/>
  <c r="R39" i="37"/>
  <c r="Q39" i="37"/>
  <c r="P39" i="37"/>
  <c r="O39" i="37"/>
  <c r="N39" i="37"/>
  <c r="M39" i="37"/>
  <c r="L39" i="37"/>
  <c r="K39" i="37"/>
  <c r="J39" i="37"/>
  <c r="I39" i="37"/>
  <c r="H39" i="37"/>
  <c r="G39" i="37"/>
  <c r="F39" i="37"/>
  <c r="E39" i="37"/>
  <c r="D39" i="37"/>
  <c r="C39" i="37"/>
  <c r="S38" i="37"/>
  <c r="R38" i="37"/>
  <c r="Q38" i="37"/>
  <c r="P38" i="37"/>
  <c r="O38" i="37"/>
  <c r="N38" i="37"/>
  <c r="M38" i="37"/>
  <c r="L38" i="37"/>
  <c r="K38" i="37"/>
  <c r="J38" i="37"/>
  <c r="I38" i="37"/>
  <c r="H38" i="37"/>
  <c r="G38" i="37"/>
  <c r="F38" i="37"/>
  <c r="E38" i="37"/>
  <c r="D38" i="37"/>
  <c r="C38" i="37"/>
  <c r="S37" i="37"/>
  <c r="R37" i="37"/>
  <c r="Q37" i="37"/>
  <c r="P37" i="37"/>
  <c r="O37" i="37"/>
  <c r="N37" i="37"/>
  <c r="M37" i="37"/>
  <c r="L37" i="37"/>
  <c r="K37" i="37"/>
  <c r="J37" i="37"/>
  <c r="I37" i="37"/>
  <c r="H37" i="37"/>
  <c r="G37" i="37"/>
  <c r="F37" i="37"/>
  <c r="E37" i="37"/>
  <c r="D37" i="37"/>
  <c r="C37" i="37"/>
  <c r="S36" i="37"/>
  <c r="R36" i="37"/>
  <c r="Q36" i="37"/>
  <c r="P36" i="37"/>
  <c r="O36" i="37"/>
  <c r="N36" i="37"/>
  <c r="M36" i="37"/>
  <c r="L36" i="37"/>
  <c r="K36" i="37"/>
  <c r="J36" i="37"/>
  <c r="I36" i="37"/>
  <c r="H36" i="37"/>
  <c r="G36" i="37"/>
  <c r="F36" i="37"/>
  <c r="E36" i="37"/>
  <c r="D36" i="37"/>
  <c r="C36" i="37"/>
  <c r="S35" i="37"/>
  <c r="R35" i="37"/>
  <c r="Q35" i="37"/>
  <c r="P35" i="37"/>
  <c r="O35" i="37"/>
  <c r="N35" i="37"/>
  <c r="M35" i="37"/>
  <c r="L35" i="37"/>
  <c r="K35" i="37"/>
  <c r="J35" i="37"/>
  <c r="I35" i="37"/>
  <c r="H35" i="37"/>
  <c r="G35" i="37"/>
  <c r="F35" i="37"/>
  <c r="E35" i="37"/>
  <c r="D35" i="37"/>
  <c r="C35" i="37"/>
  <c r="S34" i="37"/>
  <c r="R34" i="37"/>
  <c r="Q34" i="37"/>
  <c r="P34" i="37"/>
  <c r="O34" i="37"/>
  <c r="N34" i="37"/>
  <c r="M34" i="37"/>
  <c r="L34" i="37"/>
  <c r="K34" i="37"/>
  <c r="J34" i="37"/>
  <c r="I34" i="37"/>
  <c r="H34" i="37"/>
  <c r="G34" i="37"/>
  <c r="F34" i="37"/>
  <c r="E34" i="37"/>
  <c r="D34" i="37"/>
  <c r="C34" i="37"/>
  <c r="S33" i="37"/>
  <c r="R33" i="37"/>
  <c r="Q33" i="37"/>
  <c r="P33" i="37"/>
  <c r="O33" i="37"/>
  <c r="N33" i="37"/>
  <c r="M33" i="37"/>
  <c r="L33" i="37"/>
  <c r="K33" i="37"/>
  <c r="J33" i="37"/>
  <c r="I33" i="37"/>
  <c r="H33" i="37"/>
  <c r="G33" i="37"/>
  <c r="F33" i="37"/>
  <c r="E33" i="37"/>
  <c r="D33" i="37"/>
  <c r="C33" i="37"/>
  <c r="S32" i="37"/>
  <c r="R32" i="37"/>
  <c r="Q32" i="37"/>
  <c r="P32" i="37"/>
  <c r="O32" i="37"/>
  <c r="N32" i="37"/>
  <c r="M32" i="37"/>
  <c r="L32" i="37"/>
  <c r="K32" i="37"/>
  <c r="J32" i="37"/>
  <c r="I32" i="37"/>
  <c r="H32" i="37"/>
  <c r="G32" i="37"/>
  <c r="F32" i="37"/>
  <c r="E32" i="37"/>
  <c r="D32" i="37"/>
  <c r="C32" i="37"/>
  <c r="S31" i="37"/>
  <c r="R31" i="37"/>
  <c r="Q31" i="37"/>
  <c r="P31" i="37"/>
  <c r="O31" i="37"/>
  <c r="N31" i="37"/>
  <c r="M31" i="37"/>
  <c r="L31" i="37"/>
  <c r="K31" i="37"/>
  <c r="J31" i="37"/>
  <c r="I31" i="37"/>
  <c r="H31" i="37"/>
  <c r="G31" i="37"/>
  <c r="F31" i="37"/>
  <c r="E31" i="37"/>
  <c r="D31" i="37"/>
  <c r="C31" i="37"/>
  <c r="S30" i="37"/>
  <c r="R30" i="37"/>
  <c r="Q30" i="37"/>
  <c r="P30" i="37"/>
  <c r="O30" i="37"/>
  <c r="N30" i="37"/>
  <c r="M30" i="37"/>
  <c r="L30" i="37"/>
  <c r="K30" i="37"/>
  <c r="J30" i="37"/>
  <c r="I30" i="37"/>
  <c r="H30" i="37"/>
  <c r="G30" i="37"/>
  <c r="F30" i="37"/>
  <c r="E30" i="37"/>
  <c r="D30" i="37"/>
  <c r="C30" i="37"/>
  <c r="S29" i="37"/>
  <c r="R29" i="37"/>
  <c r="Q29" i="37"/>
  <c r="P29" i="37"/>
  <c r="O29" i="37"/>
  <c r="N29" i="37"/>
  <c r="M29" i="37"/>
  <c r="L29" i="37"/>
  <c r="K29" i="37"/>
  <c r="J29" i="37"/>
  <c r="I29" i="37"/>
  <c r="H29" i="37"/>
  <c r="G29" i="37"/>
  <c r="F29" i="37"/>
  <c r="E29" i="37"/>
  <c r="D29" i="37"/>
  <c r="C29" i="37"/>
  <c r="S28" i="37"/>
  <c r="R28" i="37"/>
  <c r="Q28" i="37"/>
  <c r="P28" i="37"/>
  <c r="O28" i="37"/>
  <c r="N28" i="37"/>
  <c r="M28" i="37"/>
  <c r="L28" i="37"/>
  <c r="K28" i="37"/>
  <c r="J28" i="37"/>
  <c r="I28" i="37"/>
  <c r="H28" i="37"/>
  <c r="G28" i="37"/>
  <c r="F28" i="37"/>
  <c r="E28" i="37"/>
  <c r="D28" i="37"/>
  <c r="C28" i="37"/>
  <c r="S27" i="37"/>
  <c r="R27" i="37"/>
  <c r="Q27" i="37"/>
  <c r="P27" i="37"/>
  <c r="O27" i="37"/>
  <c r="N27" i="37"/>
  <c r="M27" i="37"/>
  <c r="L27" i="37"/>
  <c r="K27" i="37"/>
  <c r="J27" i="37"/>
  <c r="I27" i="37"/>
  <c r="H27" i="37"/>
  <c r="G27" i="37"/>
  <c r="F27" i="37"/>
  <c r="E27" i="37"/>
  <c r="D27" i="37"/>
  <c r="C27" i="37"/>
  <c r="S26" i="37"/>
  <c r="R26" i="37"/>
  <c r="Q26" i="37"/>
  <c r="P26" i="37"/>
  <c r="O26" i="37"/>
  <c r="N26" i="37"/>
  <c r="M26" i="37"/>
  <c r="L26" i="37"/>
  <c r="K26" i="37"/>
  <c r="J26" i="37"/>
  <c r="I26" i="37"/>
  <c r="H26" i="37"/>
  <c r="G26" i="37"/>
  <c r="F26" i="37"/>
  <c r="E26" i="37"/>
  <c r="D26" i="37"/>
  <c r="C26" i="37"/>
  <c r="S25" i="37"/>
  <c r="R25" i="37"/>
  <c r="Q25" i="37"/>
  <c r="P25" i="37"/>
  <c r="O25" i="37"/>
  <c r="N25" i="37"/>
  <c r="M25" i="37"/>
  <c r="L25" i="37"/>
  <c r="K25" i="37"/>
  <c r="J25" i="37"/>
  <c r="I25" i="37"/>
  <c r="H25" i="37"/>
  <c r="G25" i="37"/>
  <c r="F25" i="37"/>
  <c r="E25" i="37"/>
  <c r="D25" i="37"/>
  <c r="C25" i="37"/>
  <c r="S24" i="37"/>
  <c r="R24" i="37"/>
  <c r="Q24" i="37"/>
  <c r="P24" i="37"/>
  <c r="O24" i="37"/>
  <c r="N24" i="37"/>
  <c r="M24" i="37"/>
  <c r="L24" i="37"/>
  <c r="K24" i="37"/>
  <c r="J24" i="37"/>
  <c r="I24" i="37"/>
  <c r="H24" i="37"/>
  <c r="G24" i="37"/>
  <c r="F24" i="37"/>
  <c r="E24" i="37"/>
  <c r="D24" i="37"/>
  <c r="C24" i="37"/>
  <c r="S23" i="37"/>
  <c r="R23" i="37"/>
  <c r="Q23" i="37"/>
  <c r="P23" i="37"/>
  <c r="O23" i="37"/>
  <c r="N23" i="37"/>
  <c r="M23" i="37"/>
  <c r="L23" i="37"/>
  <c r="K23" i="37"/>
  <c r="J23" i="37"/>
  <c r="I23" i="37"/>
  <c r="H23" i="37"/>
  <c r="G23" i="37"/>
  <c r="F23" i="37"/>
  <c r="E23" i="37"/>
  <c r="D23" i="37"/>
  <c r="C23" i="37"/>
  <c r="S22" i="37"/>
  <c r="R22" i="37"/>
  <c r="Q22" i="37"/>
  <c r="P22" i="37"/>
  <c r="O22" i="37"/>
  <c r="N22" i="37"/>
  <c r="M22" i="37"/>
  <c r="L22" i="37"/>
  <c r="K22" i="37"/>
  <c r="J22" i="37"/>
  <c r="I22" i="37"/>
  <c r="H22" i="37"/>
  <c r="G22" i="37"/>
  <c r="F22" i="37"/>
  <c r="E22" i="37"/>
  <c r="D22" i="37"/>
  <c r="C22" i="37"/>
  <c r="S21" i="37"/>
  <c r="R21" i="37"/>
  <c r="Q21" i="37"/>
  <c r="P21" i="37"/>
  <c r="O21" i="37"/>
  <c r="N21" i="37"/>
  <c r="M21" i="37"/>
  <c r="L21" i="37"/>
  <c r="K21" i="37"/>
  <c r="J21" i="37"/>
  <c r="I21" i="37"/>
  <c r="H21" i="37"/>
  <c r="G21" i="37"/>
  <c r="F21" i="37"/>
  <c r="E21" i="37"/>
  <c r="D21" i="37"/>
  <c r="C21" i="37"/>
  <c r="S20" i="37"/>
  <c r="R20" i="37"/>
  <c r="Q20" i="37"/>
  <c r="P20" i="37"/>
  <c r="O20" i="37"/>
  <c r="N20" i="37"/>
  <c r="M20" i="37"/>
  <c r="L20" i="37"/>
  <c r="K20" i="37"/>
  <c r="J20" i="37"/>
  <c r="I20" i="37"/>
  <c r="H20" i="37"/>
  <c r="G20" i="37"/>
  <c r="F20" i="37"/>
  <c r="E20" i="37"/>
  <c r="D20" i="37"/>
  <c r="C20" i="37"/>
  <c r="S19" i="37"/>
  <c r="R19" i="37"/>
  <c r="Q19" i="37"/>
  <c r="P19" i="37"/>
  <c r="O19" i="37"/>
  <c r="N19" i="37"/>
  <c r="M19" i="37"/>
  <c r="L19" i="37"/>
  <c r="K19" i="37"/>
  <c r="J19" i="37"/>
  <c r="I19" i="37"/>
  <c r="H19" i="37"/>
  <c r="G19" i="37"/>
  <c r="F19" i="37"/>
  <c r="E19" i="37"/>
  <c r="D19" i="37"/>
  <c r="C19" i="37"/>
  <c r="S18" i="37"/>
  <c r="R18" i="37"/>
  <c r="Q18" i="37"/>
  <c r="P18" i="37"/>
  <c r="O18" i="37"/>
  <c r="N18" i="37"/>
  <c r="M18" i="37"/>
  <c r="L18" i="37"/>
  <c r="K18" i="37"/>
  <c r="J18" i="37"/>
  <c r="I18" i="37"/>
  <c r="H18" i="37"/>
  <c r="G18" i="37"/>
  <c r="F18" i="37"/>
  <c r="E18" i="37"/>
  <c r="D18" i="37"/>
  <c r="C18" i="37"/>
  <c r="S17" i="37"/>
  <c r="R17" i="37"/>
  <c r="Q17" i="37"/>
  <c r="P17" i="37"/>
  <c r="O17" i="37"/>
  <c r="N17" i="37"/>
  <c r="M17" i="37"/>
  <c r="L17" i="37"/>
  <c r="K17" i="37"/>
  <c r="J17" i="37"/>
  <c r="I17" i="37"/>
  <c r="H17" i="37"/>
  <c r="G17" i="37"/>
  <c r="F17" i="37"/>
  <c r="E17" i="37"/>
  <c r="D17" i="37"/>
  <c r="C17" i="37"/>
  <c r="S16" i="37"/>
  <c r="R16" i="37"/>
  <c r="Q16" i="37"/>
  <c r="P16" i="37"/>
  <c r="O16" i="37"/>
  <c r="N16" i="37"/>
  <c r="M16" i="37"/>
  <c r="L16" i="37"/>
  <c r="K16" i="37"/>
  <c r="J16" i="37"/>
  <c r="I16" i="37"/>
  <c r="H16" i="37"/>
  <c r="G16" i="37"/>
  <c r="F16" i="37"/>
  <c r="E16" i="37"/>
  <c r="D16" i="37"/>
  <c r="C16" i="37"/>
  <c r="S15" i="37"/>
  <c r="R15" i="37"/>
  <c r="Q15" i="37"/>
  <c r="P15" i="37"/>
  <c r="O15" i="37"/>
  <c r="N15" i="37"/>
  <c r="M15" i="37"/>
  <c r="L15" i="37"/>
  <c r="K15" i="37"/>
  <c r="J15" i="37"/>
  <c r="I15" i="37"/>
  <c r="H15" i="37"/>
  <c r="G15" i="37"/>
  <c r="F15" i="37"/>
  <c r="E15" i="37"/>
  <c r="D15" i="37"/>
  <c r="C15" i="37"/>
  <c r="S14" i="37"/>
  <c r="R14" i="37"/>
  <c r="Q14" i="37"/>
  <c r="P14" i="37"/>
  <c r="O14" i="37"/>
  <c r="N14" i="37"/>
  <c r="M14" i="37"/>
  <c r="L14" i="37"/>
  <c r="K14" i="37"/>
  <c r="J14" i="37"/>
  <c r="I14" i="37"/>
  <c r="H14" i="37"/>
  <c r="G14" i="37"/>
  <c r="F14" i="37"/>
  <c r="E14" i="37"/>
  <c r="D14" i="37"/>
  <c r="C14" i="37"/>
  <c r="S13" i="37"/>
  <c r="R13" i="37"/>
  <c r="Q13" i="37"/>
  <c r="P13" i="37"/>
  <c r="O13" i="37"/>
  <c r="N13" i="37"/>
  <c r="M13" i="37"/>
  <c r="L13" i="37"/>
  <c r="K13" i="37"/>
  <c r="J13" i="37"/>
  <c r="I13" i="37"/>
  <c r="H13" i="37"/>
  <c r="G13" i="37"/>
  <c r="F13" i="37"/>
  <c r="E13" i="37"/>
  <c r="D13" i="37"/>
  <c r="C13" i="37"/>
  <c r="S12" i="37"/>
  <c r="R12" i="37"/>
  <c r="Q12" i="37"/>
  <c r="P12" i="37"/>
  <c r="O12" i="37"/>
  <c r="N12" i="37"/>
  <c r="M12" i="37"/>
  <c r="L12" i="37"/>
  <c r="K12" i="37"/>
  <c r="J12" i="37"/>
  <c r="I12" i="37"/>
  <c r="H12" i="37"/>
  <c r="G12" i="37"/>
  <c r="F12" i="37"/>
  <c r="E12" i="37"/>
  <c r="D12" i="37"/>
  <c r="C12" i="37"/>
  <c r="S11" i="37"/>
  <c r="R11" i="37"/>
  <c r="Q11" i="37"/>
  <c r="P11" i="37"/>
  <c r="O11" i="37"/>
  <c r="N11" i="37"/>
  <c r="M11" i="37"/>
  <c r="L11" i="37"/>
  <c r="K11" i="37"/>
  <c r="J11" i="37"/>
  <c r="I11" i="37"/>
  <c r="H11" i="37"/>
  <c r="G11" i="37"/>
  <c r="F11" i="37"/>
  <c r="E11" i="37"/>
  <c r="D11" i="37"/>
  <c r="C11" i="37"/>
  <c r="S10" i="37"/>
  <c r="R10" i="37"/>
  <c r="Q10" i="37"/>
  <c r="P10" i="37"/>
  <c r="O10" i="37"/>
  <c r="N10" i="37"/>
  <c r="M10" i="37"/>
  <c r="L10" i="37"/>
  <c r="K10" i="37"/>
  <c r="J10" i="37"/>
  <c r="I10" i="37"/>
  <c r="H10" i="37"/>
  <c r="G10" i="37"/>
  <c r="F10" i="37"/>
  <c r="E10" i="37"/>
  <c r="D10" i="37"/>
  <c r="C10" i="37"/>
  <c r="S9" i="37"/>
  <c r="R9" i="37"/>
  <c r="Q9" i="37"/>
  <c r="P9" i="37"/>
  <c r="O9" i="37"/>
  <c r="N9" i="37"/>
  <c r="M9" i="37"/>
  <c r="L9" i="37"/>
  <c r="K9" i="37"/>
  <c r="J9" i="37"/>
  <c r="I9" i="37"/>
  <c r="H9" i="37"/>
  <c r="G9" i="37"/>
  <c r="F9" i="37"/>
  <c r="E9" i="37"/>
  <c r="D9" i="37"/>
  <c r="C9" i="37"/>
  <c r="S8" i="37"/>
  <c r="R8" i="37"/>
  <c r="Q8" i="37"/>
  <c r="P8" i="37"/>
  <c r="O8" i="37"/>
  <c r="N8" i="37"/>
  <c r="M8" i="37"/>
  <c r="L8" i="37"/>
  <c r="K8" i="37"/>
  <c r="J8" i="37"/>
  <c r="I8" i="37"/>
  <c r="H8" i="37"/>
  <c r="G8" i="37"/>
  <c r="F8" i="37"/>
  <c r="E8" i="37"/>
  <c r="D8" i="37"/>
  <c r="C8" i="37"/>
  <c r="S7" i="37"/>
  <c r="R7" i="37"/>
  <c r="Q7" i="37"/>
  <c r="P7" i="37"/>
  <c r="O7" i="37"/>
  <c r="N7" i="37"/>
  <c r="M7" i="37"/>
  <c r="L7" i="37"/>
  <c r="K7" i="37"/>
  <c r="J7" i="37"/>
  <c r="I7" i="37"/>
  <c r="H7" i="37"/>
  <c r="G7" i="37"/>
  <c r="F7" i="37"/>
  <c r="E7" i="37"/>
  <c r="D7" i="37"/>
  <c r="C7" i="37"/>
  <c r="S6" i="37"/>
  <c r="R6" i="37"/>
  <c r="Q6" i="37"/>
  <c r="P6" i="37"/>
  <c r="O6" i="37"/>
  <c r="N6" i="37"/>
  <c r="M6" i="37"/>
  <c r="L6" i="37"/>
  <c r="K6" i="37"/>
  <c r="J6" i="37"/>
  <c r="I6" i="37"/>
  <c r="H6" i="37"/>
  <c r="G6" i="37"/>
  <c r="F6" i="37"/>
  <c r="E6" i="37"/>
  <c r="D6" i="37"/>
  <c r="C6" i="37"/>
  <c r="S5" i="37"/>
  <c r="R5" i="37"/>
  <c r="Q5" i="37"/>
  <c r="P5" i="37"/>
  <c r="O5" i="37"/>
  <c r="N5" i="37"/>
  <c r="M5" i="37"/>
  <c r="L5" i="37"/>
  <c r="K5" i="37"/>
  <c r="J5" i="37"/>
  <c r="I5" i="37"/>
  <c r="H5" i="37"/>
  <c r="G5" i="37"/>
  <c r="F5" i="37"/>
  <c r="E5" i="37"/>
  <c r="D5" i="37"/>
  <c r="C5" i="37"/>
  <c r="S4" i="37"/>
  <c r="R4" i="37"/>
  <c r="Q4" i="37"/>
  <c r="P4" i="37"/>
  <c r="O4" i="37"/>
  <c r="N4" i="37"/>
  <c r="M4" i="37"/>
  <c r="L4" i="37"/>
  <c r="K4" i="37"/>
  <c r="J4" i="37"/>
  <c r="I4" i="37"/>
  <c r="H4" i="37"/>
  <c r="G4" i="37"/>
  <c r="F4" i="37"/>
  <c r="E4" i="37"/>
  <c r="D4" i="37"/>
  <c r="C4" i="37"/>
  <c r="M53" i="25"/>
  <c r="M52" i="25"/>
  <c r="M51" i="25"/>
  <c r="M50" i="25"/>
  <c r="M49" i="25"/>
  <c r="M48" i="25"/>
  <c r="M47" i="25"/>
  <c r="M46" i="25"/>
  <c r="M45" i="25"/>
  <c r="M44" i="25"/>
  <c r="M43" i="25"/>
  <c r="M42" i="25"/>
  <c r="M41" i="25"/>
  <c r="M40" i="25"/>
  <c r="M39" i="25"/>
  <c r="M38" i="25"/>
  <c r="M37" i="25"/>
  <c r="M36" i="25"/>
  <c r="M35" i="25"/>
  <c r="M34" i="25"/>
  <c r="M33" i="25"/>
  <c r="M32" i="25"/>
  <c r="M31" i="25"/>
  <c r="M30" i="25"/>
  <c r="M29" i="25"/>
  <c r="M28" i="25"/>
  <c r="M27" i="25"/>
  <c r="M26" i="25"/>
  <c r="M25" i="25"/>
  <c r="M24" i="25"/>
  <c r="M23" i="25"/>
  <c r="M22" i="25"/>
  <c r="M21" i="25"/>
  <c r="M20" i="25"/>
  <c r="M19" i="25"/>
  <c r="M18" i="25"/>
  <c r="M17" i="25"/>
  <c r="M16" i="25"/>
  <c r="M15" i="25"/>
  <c r="M14" i="25"/>
  <c r="M13" i="25"/>
  <c r="M12" i="25"/>
  <c r="M53" i="22"/>
  <c r="M52" i="22"/>
  <c r="M51" i="22"/>
  <c r="M50" i="22"/>
  <c r="M49" i="22"/>
  <c r="M48" i="22"/>
  <c r="M47" i="22"/>
  <c r="M46" i="22"/>
  <c r="M45" i="22"/>
  <c r="M44" i="22"/>
  <c r="M43" i="22"/>
  <c r="M42" i="22"/>
  <c r="M41" i="22"/>
  <c r="M40" i="22"/>
  <c r="M39" i="22"/>
  <c r="M38" i="22"/>
  <c r="M37" i="22"/>
  <c r="M36" i="22"/>
  <c r="M35" i="22"/>
  <c r="M34" i="22"/>
  <c r="M33" i="22"/>
  <c r="M32" i="22"/>
  <c r="M31" i="22"/>
  <c r="M30" i="22"/>
  <c r="M29" i="22"/>
  <c r="M28" i="22"/>
  <c r="M27" i="22"/>
  <c r="M26" i="22"/>
  <c r="M25" i="22"/>
  <c r="M24" i="22"/>
  <c r="M23" i="22"/>
  <c r="M22" i="22"/>
  <c r="M21" i="22"/>
  <c r="M20" i="22"/>
  <c r="M19" i="22"/>
  <c r="M18" i="22"/>
  <c r="M17" i="22"/>
  <c r="M16" i="22"/>
  <c r="M15" i="22"/>
  <c r="M14" i="22"/>
  <c r="M13" i="22"/>
  <c r="M12" i="22"/>
  <c r="M53" i="21"/>
  <c r="M52" i="21"/>
  <c r="M51" i="21"/>
  <c r="M50" i="21"/>
  <c r="M49" i="21"/>
  <c r="M48" i="21"/>
  <c r="M47" i="21"/>
  <c r="M46" i="21"/>
  <c r="M45" i="21"/>
  <c r="M44" i="21"/>
  <c r="M43" i="21"/>
  <c r="M42" i="21"/>
  <c r="M41" i="21"/>
  <c r="M40" i="21"/>
  <c r="M39" i="21"/>
  <c r="M38" i="21"/>
  <c r="M37" i="21"/>
  <c r="M36" i="21"/>
  <c r="M35" i="21"/>
  <c r="M34" i="21"/>
  <c r="M33" i="21"/>
  <c r="M32" i="21"/>
  <c r="M31" i="21"/>
  <c r="M30" i="21"/>
  <c r="M29" i="21"/>
  <c r="M28" i="21"/>
  <c r="M27" i="21"/>
  <c r="M26" i="21"/>
  <c r="M25" i="21"/>
  <c r="M24" i="21"/>
  <c r="M23" i="21"/>
  <c r="M22" i="21"/>
  <c r="M21" i="21"/>
  <c r="M20" i="21"/>
  <c r="M19" i="21"/>
  <c r="M18" i="21"/>
  <c r="M17" i="21"/>
  <c r="M16" i="21"/>
  <c r="M15" i="21"/>
  <c r="M14" i="21"/>
  <c r="M13" i="21"/>
  <c r="M12" i="21"/>
  <c r="M53" i="39"/>
  <c r="M52" i="39"/>
  <c r="M51" i="39"/>
  <c r="M50" i="39"/>
  <c r="M49" i="39"/>
  <c r="M48" i="39"/>
  <c r="M47" i="39"/>
  <c r="M46" i="39"/>
  <c r="M45" i="39"/>
  <c r="M44" i="39"/>
  <c r="M43" i="39"/>
  <c r="M42" i="39"/>
  <c r="M41" i="39"/>
  <c r="M40" i="39"/>
  <c r="M39" i="39"/>
  <c r="M38" i="39"/>
  <c r="M37" i="39"/>
  <c r="M36" i="39"/>
  <c r="M35" i="39"/>
  <c r="M34" i="39"/>
  <c r="M33" i="39"/>
  <c r="M32" i="39"/>
  <c r="M31" i="39"/>
  <c r="M30" i="39"/>
  <c r="M29" i="39"/>
  <c r="M28" i="39"/>
  <c r="M27" i="39"/>
  <c r="M26" i="39"/>
  <c r="M25" i="39"/>
  <c r="M24" i="39"/>
  <c r="M23" i="39"/>
  <c r="M22" i="39"/>
  <c r="M21" i="39"/>
  <c r="M20" i="39"/>
  <c r="M19" i="39"/>
  <c r="M18" i="39"/>
  <c r="M17" i="39"/>
  <c r="M16" i="39"/>
  <c r="M15" i="39"/>
  <c r="M14" i="39"/>
  <c r="M13" i="39"/>
  <c r="M12" i="39"/>
  <c r="M53" i="34"/>
  <c r="M52" i="34"/>
  <c r="M51" i="34"/>
  <c r="M50" i="34"/>
  <c r="M49" i="34"/>
  <c r="M48" i="34"/>
  <c r="M47" i="34"/>
  <c r="M46" i="34"/>
  <c r="M45" i="34"/>
  <c r="M44" i="34"/>
  <c r="M43" i="34"/>
  <c r="M42" i="34"/>
  <c r="M41" i="34"/>
  <c r="M40" i="34"/>
  <c r="M39" i="34"/>
  <c r="M38" i="34"/>
  <c r="M37" i="34"/>
  <c r="M36" i="34"/>
  <c r="M35" i="34"/>
  <c r="M34" i="34"/>
  <c r="M33" i="34"/>
  <c r="M32" i="34"/>
  <c r="M31" i="34"/>
  <c r="M30" i="34"/>
  <c r="M29" i="34"/>
  <c r="M28" i="34"/>
  <c r="M27" i="34"/>
  <c r="M26" i="34"/>
  <c r="M25" i="34"/>
  <c r="M24" i="34"/>
  <c r="M23" i="34"/>
  <c r="M22" i="34"/>
  <c r="M21" i="34"/>
  <c r="M20" i="34"/>
  <c r="M19" i="34"/>
  <c r="M18" i="34"/>
  <c r="M17" i="34"/>
  <c r="M16" i="34"/>
  <c r="M15" i="34"/>
  <c r="M14" i="34"/>
  <c r="M13" i="34"/>
  <c r="M12" i="34"/>
  <c r="M53" i="9"/>
  <c r="M52" i="9"/>
  <c r="M51" i="9"/>
  <c r="M50" i="9"/>
  <c r="M49" i="9"/>
  <c r="M48" i="9"/>
  <c r="M47" i="9"/>
  <c r="M46" i="9"/>
  <c r="M45" i="9"/>
  <c r="M44" i="9"/>
  <c r="M43" i="9"/>
  <c r="M42" i="9"/>
  <c r="M41" i="9"/>
  <c r="M40" i="9"/>
  <c r="M39" i="9"/>
  <c r="M38" i="9"/>
  <c r="M37" i="9"/>
  <c r="M36" i="9"/>
  <c r="M35" i="9"/>
  <c r="M34" i="9"/>
  <c r="M33" i="9"/>
  <c r="M32" i="9"/>
  <c r="M31" i="9"/>
  <c r="M30" i="9"/>
  <c r="M29" i="9"/>
  <c r="M28" i="9"/>
  <c r="M27" i="9"/>
  <c r="M26" i="9"/>
  <c r="M25" i="9"/>
  <c r="M24" i="9"/>
  <c r="M23" i="9"/>
  <c r="M22" i="9"/>
  <c r="M21" i="9"/>
  <c r="M20" i="9"/>
  <c r="M19" i="9"/>
  <c r="M18" i="9"/>
  <c r="M17" i="9"/>
  <c r="M16" i="9"/>
  <c r="M15" i="9"/>
  <c r="M14" i="9"/>
  <c r="M13" i="9"/>
  <c r="M12" i="9"/>
  <c r="I53" i="39"/>
  <c r="I52" i="39"/>
  <c r="I51" i="39"/>
  <c r="I50" i="39"/>
  <c r="I49" i="39"/>
  <c r="I48" i="39"/>
  <c r="I47" i="39"/>
  <c r="I46" i="39"/>
  <c r="I45" i="39"/>
  <c r="I44" i="39"/>
  <c r="I43" i="39"/>
  <c r="I42" i="39"/>
  <c r="I41" i="39"/>
  <c r="I40" i="39"/>
  <c r="I39" i="39"/>
  <c r="I38" i="39"/>
  <c r="I37" i="39"/>
  <c r="I36" i="39"/>
  <c r="I35" i="39"/>
  <c r="I34" i="39"/>
  <c r="I33" i="39"/>
  <c r="I32" i="39"/>
  <c r="I31" i="39"/>
  <c r="I30" i="39"/>
  <c r="I29" i="39"/>
  <c r="I28" i="39"/>
  <c r="I27" i="39"/>
  <c r="I26" i="39"/>
  <c r="I25" i="39"/>
  <c r="I24" i="39"/>
  <c r="I23" i="39"/>
  <c r="I22" i="39"/>
  <c r="I21" i="39"/>
  <c r="I20" i="39"/>
  <c r="I19" i="39"/>
  <c r="I18" i="39"/>
  <c r="I17" i="39"/>
  <c r="I16" i="39"/>
  <c r="I15" i="39"/>
  <c r="I14" i="39"/>
  <c r="I13" i="39"/>
  <c r="I12" i="39"/>
  <c r="I11" i="39"/>
  <c r="I10" i="39"/>
  <c r="I9" i="39"/>
  <c r="I8" i="39"/>
  <c r="I55" i="39"/>
  <c r="I7" i="39"/>
  <c r="I6" i="39"/>
  <c r="I5" i="39"/>
  <c r="I4" i="39"/>
  <c r="S55" i="39"/>
  <c r="R55" i="39"/>
  <c r="O55" i="39"/>
  <c r="K55" i="39"/>
  <c r="G55" i="39"/>
  <c r="C55" i="39"/>
  <c r="B55" i="39"/>
  <c r="S53" i="39"/>
  <c r="P53" i="39"/>
  <c r="O53" i="39"/>
  <c r="N53" i="39"/>
  <c r="L53" i="39"/>
  <c r="K53" i="39"/>
  <c r="J53" i="39"/>
  <c r="H53" i="39"/>
  <c r="G53" i="39"/>
  <c r="F53" i="39"/>
  <c r="E53" i="39"/>
  <c r="D53" i="39"/>
  <c r="S52" i="39"/>
  <c r="P52" i="39"/>
  <c r="O52" i="39"/>
  <c r="N52" i="39"/>
  <c r="L52" i="39"/>
  <c r="K52" i="39"/>
  <c r="J52" i="39"/>
  <c r="H52" i="39"/>
  <c r="G52" i="39"/>
  <c r="F52" i="39"/>
  <c r="E52" i="39"/>
  <c r="D52" i="39"/>
  <c r="S51" i="39"/>
  <c r="P51" i="39"/>
  <c r="O51" i="39"/>
  <c r="N51" i="39"/>
  <c r="L51" i="39"/>
  <c r="K51" i="39"/>
  <c r="J51" i="39"/>
  <c r="H51" i="39"/>
  <c r="G51" i="39"/>
  <c r="F51" i="39"/>
  <c r="E51" i="39"/>
  <c r="D51" i="39"/>
  <c r="S50" i="39"/>
  <c r="P50" i="39"/>
  <c r="O50" i="39"/>
  <c r="N50" i="39"/>
  <c r="L50" i="39"/>
  <c r="K50" i="39"/>
  <c r="J50" i="39"/>
  <c r="H50" i="39"/>
  <c r="G50" i="39"/>
  <c r="F50" i="39"/>
  <c r="E50" i="39"/>
  <c r="D50" i="39"/>
  <c r="S49" i="39"/>
  <c r="P49" i="39"/>
  <c r="O49" i="39"/>
  <c r="N49" i="39"/>
  <c r="L49" i="39"/>
  <c r="K49" i="39"/>
  <c r="J49" i="39"/>
  <c r="H49" i="39"/>
  <c r="G49" i="39"/>
  <c r="F49" i="39"/>
  <c r="E49" i="39"/>
  <c r="D49" i="39"/>
  <c r="S48" i="39"/>
  <c r="P48" i="39"/>
  <c r="O48" i="39"/>
  <c r="N48" i="39"/>
  <c r="L48" i="39"/>
  <c r="K48" i="39"/>
  <c r="J48" i="39"/>
  <c r="H48" i="39"/>
  <c r="G48" i="39"/>
  <c r="F48" i="39"/>
  <c r="E48" i="39"/>
  <c r="D48" i="39"/>
  <c r="S47" i="39"/>
  <c r="P47" i="39"/>
  <c r="O47" i="39"/>
  <c r="N47" i="39"/>
  <c r="L47" i="39"/>
  <c r="K47" i="39"/>
  <c r="J47" i="39"/>
  <c r="H47" i="39"/>
  <c r="G47" i="39"/>
  <c r="F47" i="39"/>
  <c r="E47" i="39"/>
  <c r="D47" i="39"/>
  <c r="S46" i="39"/>
  <c r="P46" i="39"/>
  <c r="O46" i="39"/>
  <c r="N46" i="39"/>
  <c r="L46" i="39"/>
  <c r="K46" i="39"/>
  <c r="J46" i="39"/>
  <c r="H46" i="39"/>
  <c r="G46" i="39"/>
  <c r="F46" i="39"/>
  <c r="E46" i="39"/>
  <c r="D46" i="39"/>
  <c r="S45" i="39"/>
  <c r="P45" i="39"/>
  <c r="O45" i="39"/>
  <c r="N45" i="39"/>
  <c r="L45" i="39"/>
  <c r="K45" i="39"/>
  <c r="J45" i="39"/>
  <c r="H45" i="39"/>
  <c r="G45" i="39"/>
  <c r="F45" i="39"/>
  <c r="E45" i="39"/>
  <c r="D45" i="39"/>
  <c r="S44" i="39"/>
  <c r="P44" i="39"/>
  <c r="O44" i="39"/>
  <c r="N44" i="39"/>
  <c r="L44" i="39"/>
  <c r="K44" i="39"/>
  <c r="J44" i="39"/>
  <c r="H44" i="39"/>
  <c r="G44" i="39"/>
  <c r="F44" i="39"/>
  <c r="E44" i="39"/>
  <c r="D44" i="39"/>
  <c r="S43" i="39"/>
  <c r="P43" i="39"/>
  <c r="O43" i="39"/>
  <c r="N43" i="39"/>
  <c r="L43" i="39"/>
  <c r="K43" i="39"/>
  <c r="J43" i="39"/>
  <c r="H43" i="39"/>
  <c r="G43" i="39"/>
  <c r="F43" i="39"/>
  <c r="E43" i="39"/>
  <c r="D43" i="39"/>
  <c r="S42" i="39"/>
  <c r="P42" i="39"/>
  <c r="O42" i="39"/>
  <c r="N42" i="39"/>
  <c r="L42" i="39"/>
  <c r="K42" i="39"/>
  <c r="J42" i="39"/>
  <c r="H42" i="39"/>
  <c r="G42" i="39"/>
  <c r="F42" i="39"/>
  <c r="E42" i="39"/>
  <c r="D42" i="39"/>
  <c r="S41" i="39"/>
  <c r="P41" i="39"/>
  <c r="O41" i="39"/>
  <c r="N41" i="39"/>
  <c r="L41" i="39"/>
  <c r="K41" i="39"/>
  <c r="J41" i="39"/>
  <c r="H41" i="39"/>
  <c r="G41" i="39"/>
  <c r="F41" i="39"/>
  <c r="E41" i="39"/>
  <c r="D41" i="39"/>
  <c r="S40" i="39"/>
  <c r="P40" i="39"/>
  <c r="O40" i="39"/>
  <c r="N40" i="39"/>
  <c r="L40" i="39"/>
  <c r="K40" i="39"/>
  <c r="J40" i="39"/>
  <c r="H40" i="39"/>
  <c r="G40" i="39"/>
  <c r="F40" i="39"/>
  <c r="E40" i="39"/>
  <c r="D40" i="39"/>
  <c r="S39" i="39"/>
  <c r="P39" i="39"/>
  <c r="O39" i="39"/>
  <c r="N39" i="39"/>
  <c r="L39" i="39"/>
  <c r="K39" i="39"/>
  <c r="J39" i="39"/>
  <c r="H39" i="39"/>
  <c r="G39" i="39"/>
  <c r="F39" i="39"/>
  <c r="E39" i="39"/>
  <c r="D39" i="39"/>
  <c r="S38" i="39"/>
  <c r="P38" i="39"/>
  <c r="O38" i="39"/>
  <c r="N38" i="39"/>
  <c r="L38" i="39"/>
  <c r="K38" i="39"/>
  <c r="J38" i="39"/>
  <c r="H38" i="39"/>
  <c r="G38" i="39"/>
  <c r="F38" i="39"/>
  <c r="E38" i="39"/>
  <c r="D38" i="39"/>
  <c r="S37" i="39"/>
  <c r="P37" i="39"/>
  <c r="O37" i="39"/>
  <c r="N37" i="39"/>
  <c r="L37" i="39"/>
  <c r="K37" i="39"/>
  <c r="J37" i="39"/>
  <c r="H37" i="39"/>
  <c r="G37" i="39"/>
  <c r="F37" i="39"/>
  <c r="E37" i="39"/>
  <c r="D37" i="39"/>
  <c r="S36" i="39"/>
  <c r="P36" i="39"/>
  <c r="O36" i="39"/>
  <c r="N36" i="39"/>
  <c r="L36" i="39"/>
  <c r="K36" i="39"/>
  <c r="J36" i="39"/>
  <c r="H36" i="39"/>
  <c r="G36" i="39"/>
  <c r="F36" i="39"/>
  <c r="E36" i="39"/>
  <c r="D36" i="39"/>
  <c r="S35" i="39"/>
  <c r="P35" i="39"/>
  <c r="O35" i="39"/>
  <c r="N35" i="39"/>
  <c r="L35" i="39"/>
  <c r="K35" i="39"/>
  <c r="J35" i="39"/>
  <c r="H35" i="39"/>
  <c r="G35" i="39"/>
  <c r="F35" i="39"/>
  <c r="E35" i="39"/>
  <c r="D35" i="39"/>
  <c r="S34" i="39"/>
  <c r="P34" i="39"/>
  <c r="O34" i="39"/>
  <c r="N34" i="39"/>
  <c r="L34" i="39"/>
  <c r="K34" i="39"/>
  <c r="J34" i="39"/>
  <c r="H34" i="39"/>
  <c r="G34" i="39"/>
  <c r="F34" i="39"/>
  <c r="E34" i="39"/>
  <c r="D34" i="39"/>
  <c r="S33" i="39"/>
  <c r="P33" i="39"/>
  <c r="O33" i="39"/>
  <c r="N33" i="39"/>
  <c r="L33" i="39"/>
  <c r="K33" i="39"/>
  <c r="J33" i="39"/>
  <c r="H33" i="39"/>
  <c r="G33" i="39"/>
  <c r="F33" i="39"/>
  <c r="E33" i="39"/>
  <c r="D33" i="39"/>
  <c r="S32" i="39"/>
  <c r="P32" i="39"/>
  <c r="O32" i="39"/>
  <c r="N32" i="39"/>
  <c r="L32" i="39"/>
  <c r="K32" i="39"/>
  <c r="J32" i="39"/>
  <c r="H32" i="39"/>
  <c r="G32" i="39"/>
  <c r="F32" i="39"/>
  <c r="E32" i="39"/>
  <c r="D32" i="39"/>
  <c r="S31" i="39"/>
  <c r="P31" i="39"/>
  <c r="O31" i="39"/>
  <c r="N31" i="39"/>
  <c r="L31" i="39"/>
  <c r="K31" i="39"/>
  <c r="J31" i="39"/>
  <c r="H31" i="39"/>
  <c r="G31" i="39"/>
  <c r="F31" i="39"/>
  <c r="E31" i="39"/>
  <c r="D31" i="39"/>
  <c r="S30" i="39"/>
  <c r="P30" i="39"/>
  <c r="O30" i="39"/>
  <c r="N30" i="39"/>
  <c r="L30" i="39"/>
  <c r="K30" i="39"/>
  <c r="J30" i="39"/>
  <c r="H30" i="39"/>
  <c r="G30" i="39"/>
  <c r="F30" i="39"/>
  <c r="E30" i="39"/>
  <c r="D30" i="39"/>
  <c r="S29" i="39"/>
  <c r="P29" i="39"/>
  <c r="O29" i="39"/>
  <c r="N29" i="39"/>
  <c r="L29" i="39"/>
  <c r="K29" i="39"/>
  <c r="J29" i="39"/>
  <c r="H29" i="39"/>
  <c r="G29" i="39"/>
  <c r="F29" i="39"/>
  <c r="E29" i="39"/>
  <c r="D29" i="39"/>
  <c r="S28" i="39"/>
  <c r="P28" i="39"/>
  <c r="O28" i="39"/>
  <c r="N28" i="39"/>
  <c r="L28" i="39"/>
  <c r="K28" i="39"/>
  <c r="J28" i="39"/>
  <c r="H28" i="39"/>
  <c r="G28" i="39"/>
  <c r="F28" i="39"/>
  <c r="E28" i="39"/>
  <c r="D28" i="39"/>
  <c r="S27" i="39"/>
  <c r="P27" i="39"/>
  <c r="O27" i="39"/>
  <c r="N27" i="39"/>
  <c r="L27" i="39"/>
  <c r="K27" i="39"/>
  <c r="J27" i="39"/>
  <c r="H27" i="39"/>
  <c r="G27" i="39"/>
  <c r="F27" i="39"/>
  <c r="E27" i="39"/>
  <c r="D27" i="39"/>
  <c r="S26" i="39"/>
  <c r="P26" i="39"/>
  <c r="O26" i="39"/>
  <c r="N26" i="39"/>
  <c r="L26" i="39"/>
  <c r="K26" i="39"/>
  <c r="J26" i="39"/>
  <c r="H26" i="39"/>
  <c r="G26" i="39"/>
  <c r="F26" i="39"/>
  <c r="E26" i="39"/>
  <c r="D26" i="39"/>
  <c r="S25" i="39"/>
  <c r="P25" i="39"/>
  <c r="O25" i="39"/>
  <c r="N25" i="39"/>
  <c r="L25" i="39"/>
  <c r="K25" i="39"/>
  <c r="J25" i="39"/>
  <c r="H25" i="39"/>
  <c r="G25" i="39"/>
  <c r="F25" i="39"/>
  <c r="E25" i="39"/>
  <c r="D25" i="39"/>
  <c r="S24" i="39"/>
  <c r="P24" i="39"/>
  <c r="O24" i="39"/>
  <c r="N24" i="39"/>
  <c r="L24" i="39"/>
  <c r="K24" i="39"/>
  <c r="J24" i="39"/>
  <c r="H24" i="39"/>
  <c r="G24" i="39"/>
  <c r="F24" i="39"/>
  <c r="E24" i="39"/>
  <c r="D24" i="39"/>
  <c r="S23" i="39"/>
  <c r="P23" i="39"/>
  <c r="O23" i="39"/>
  <c r="N23" i="39"/>
  <c r="L23" i="39"/>
  <c r="K23" i="39"/>
  <c r="J23" i="39"/>
  <c r="H23" i="39"/>
  <c r="G23" i="39"/>
  <c r="F23" i="39"/>
  <c r="E23" i="39"/>
  <c r="D23" i="39"/>
  <c r="S22" i="39"/>
  <c r="P22" i="39"/>
  <c r="O22" i="39"/>
  <c r="N22" i="39"/>
  <c r="L22" i="39"/>
  <c r="K22" i="39"/>
  <c r="J22" i="39"/>
  <c r="H22" i="39"/>
  <c r="G22" i="39"/>
  <c r="F22" i="39"/>
  <c r="E22" i="39"/>
  <c r="D22" i="39"/>
  <c r="S21" i="39"/>
  <c r="P21" i="39"/>
  <c r="O21" i="39"/>
  <c r="N21" i="39"/>
  <c r="L21" i="39"/>
  <c r="K21" i="39"/>
  <c r="J21" i="39"/>
  <c r="H21" i="39"/>
  <c r="G21" i="39"/>
  <c r="F21" i="39"/>
  <c r="E21" i="39"/>
  <c r="D21" i="39"/>
  <c r="S20" i="39"/>
  <c r="P20" i="39"/>
  <c r="O20" i="39"/>
  <c r="N20" i="39"/>
  <c r="L20" i="39"/>
  <c r="K20" i="39"/>
  <c r="J20" i="39"/>
  <c r="H20" i="39"/>
  <c r="G20" i="39"/>
  <c r="F20" i="39"/>
  <c r="E20" i="39"/>
  <c r="D20" i="39"/>
  <c r="S19" i="39"/>
  <c r="P19" i="39"/>
  <c r="O19" i="39"/>
  <c r="N19" i="39"/>
  <c r="L19" i="39"/>
  <c r="K19" i="39"/>
  <c r="J19" i="39"/>
  <c r="H19" i="39"/>
  <c r="G19" i="39"/>
  <c r="F19" i="39"/>
  <c r="E19" i="39"/>
  <c r="D19" i="39"/>
  <c r="S18" i="39"/>
  <c r="P18" i="39"/>
  <c r="O18" i="39"/>
  <c r="N18" i="39"/>
  <c r="L18" i="39"/>
  <c r="K18" i="39"/>
  <c r="J18" i="39"/>
  <c r="H18" i="39"/>
  <c r="G18" i="39"/>
  <c r="F18" i="39"/>
  <c r="E18" i="39"/>
  <c r="D18" i="39"/>
  <c r="S17" i="39"/>
  <c r="P17" i="39"/>
  <c r="O17" i="39"/>
  <c r="N17" i="39"/>
  <c r="L17" i="39"/>
  <c r="K17" i="39"/>
  <c r="J17" i="39"/>
  <c r="H17" i="39"/>
  <c r="G17" i="39"/>
  <c r="F17" i="39"/>
  <c r="E17" i="39"/>
  <c r="D17" i="39"/>
  <c r="S16" i="39"/>
  <c r="P16" i="39"/>
  <c r="O16" i="39"/>
  <c r="N16" i="39"/>
  <c r="L16" i="39"/>
  <c r="K16" i="39"/>
  <c r="J16" i="39"/>
  <c r="H16" i="39"/>
  <c r="G16" i="39"/>
  <c r="F16" i="39"/>
  <c r="E16" i="39"/>
  <c r="D16" i="39"/>
  <c r="S15" i="39"/>
  <c r="P15" i="39"/>
  <c r="O15" i="39"/>
  <c r="N15" i="39"/>
  <c r="L15" i="39"/>
  <c r="K15" i="39"/>
  <c r="J15" i="39"/>
  <c r="H15" i="39"/>
  <c r="G15" i="39"/>
  <c r="F15" i="39"/>
  <c r="E15" i="39"/>
  <c r="D15" i="39"/>
  <c r="S14" i="39"/>
  <c r="P14" i="39"/>
  <c r="O14" i="39"/>
  <c r="N14" i="39"/>
  <c r="L14" i="39"/>
  <c r="K14" i="39"/>
  <c r="J14" i="39"/>
  <c r="H14" i="39"/>
  <c r="G14" i="39"/>
  <c r="F14" i="39"/>
  <c r="E14" i="39"/>
  <c r="D14" i="39"/>
  <c r="S13" i="39"/>
  <c r="P13" i="39"/>
  <c r="O13" i="39"/>
  <c r="N13" i="39"/>
  <c r="L13" i="39"/>
  <c r="K13" i="39"/>
  <c r="J13" i="39"/>
  <c r="H13" i="39"/>
  <c r="G13" i="39"/>
  <c r="F13" i="39"/>
  <c r="E13" i="39"/>
  <c r="D13" i="39"/>
  <c r="S12" i="39"/>
  <c r="P12" i="39"/>
  <c r="O12" i="39"/>
  <c r="N12" i="39"/>
  <c r="L12" i="39"/>
  <c r="K12" i="39"/>
  <c r="J12" i="39"/>
  <c r="H12" i="39"/>
  <c r="G12" i="39"/>
  <c r="F12" i="39"/>
  <c r="E12" i="39"/>
  <c r="D12" i="39"/>
  <c r="S11" i="39"/>
  <c r="P11" i="39"/>
  <c r="O11" i="39"/>
  <c r="N11" i="39"/>
  <c r="L11" i="39"/>
  <c r="K11" i="39"/>
  <c r="J11" i="39"/>
  <c r="H11" i="39"/>
  <c r="G11" i="39"/>
  <c r="F11" i="39"/>
  <c r="E11" i="39"/>
  <c r="D11" i="39"/>
  <c r="S10" i="39"/>
  <c r="P10" i="39"/>
  <c r="O10" i="39"/>
  <c r="N10" i="39"/>
  <c r="L10" i="39"/>
  <c r="K10" i="39"/>
  <c r="J10" i="39"/>
  <c r="H10" i="39"/>
  <c r="G10" i="39"/>
  <c r="F10" i="39"/>
  <c r="E10" i="39"/>
  <c r="D10" i="39"/>
  <c r="S9" i="39"/>
  <c r="P9" i="39"/>
  <c r="O9" i="39"/>
  <c r="N9" i="39"/>
  <c r="L9" i="39"/>
  <c r="K9" i="39"/>
  <c r="J9" i="39"/>
  <c r="H9" i="39"/>
  <c r="G9" i="39"/>
  <c r="F9" i="39"/>
  <c r="E9" i="39"/>
  <c r="D9" i="39"/>
  <c r="S8" i="39"/>
  <c r="P8" i="39"/>
  <c r="O8" i="39"/>
  <c r="N8" i="39"/>
  <c r="L8" i="39"/>
  <c r="K8" i="39"/>
  <c r="J8" i="39"/>
  <c r="H8" i="39"/>
  <c r="G8" i="39"/>
  <c r="F8" i="39"/>
  <c r="E8" i="39"/>
  <c r="D8" i="39"/>
  <c r="S7" i="39"/>
  <c r="P7" i="39"/>
  <c r="O7" i="39"/>
  <c r="N7" i="39"/>
  <c r="L7" i="39"/>
  <c r="K7" i="39"/>
  <c r="J7" i="39"/>
  <c r="H7" i="39"/>
  <c r="G7" i="39"/>
  <c r="F7" i="39"/>
  <c r="E7" i="39"/>
  <c r="D7" i="39"/>
  <c r="S6" i="39"/>
  <c r="P6" i="39"/>
  <c r="O6" i="39"/>
  <c r="N6" i="39"/>
  <c r="L6" i="39"/>
  <c r="K6" i="39"/>
  <c r="J6" i="39"/>
  <c r="H6" i="39"/>
  <c r="G6" i="39"/>
  <c r="F6" i="39"/>
  <c r="E6" i="39"/>
  <c r="D6" i="39"/>
  <c r="S5" i="39"/>
  <c r="P5" i="39"/>
  <c r="O5" i="39"/>
  <c r="N5" i="39"/>
  <c r="L5" i="39"/>
  <c r="K5" i="39"/>
  <c r="J5" i="39"/>
  <c r="H5" i="39"/>
  <c r="G5" i="39"/>
  <c r="F5" i="39"/>
  <c r="E5" i="39"/>
  <c r="D5" i="39"/>
  <c r="S4" i="39"/>
  <c r="Q55" i="39"/>
  <c r="P4" i="39"/>
  <c r="P55" i="39"/>
  <c r="O4" i="39"/>
  <c r="N4" i="39"/>
  <c r="N55" i="39"/>
  <c r="L4" i="39"/>
  <c r="L55" i="39"/>
  <c r="K4" i="39"/>
  <c r="J4" i="39"/>
  <c r="J55" i="39"/>
  <c r="H4" i="39"/>
  <c r="H55" i="39"/>
  <c r="G4" i="39"/>
  <c r="F4" i="39"/>
  <c r="F55" i="39"/>
  <c r="E4" i="39"/>
  <c r="E55" i="39"/>
  <c r="D4" i="39"/>
  <c r="T1" i="39"/>
  <c r="S1" i="39"/>
  <c r="R1" i="39"/>
  <c r="Q1" i="39"/>
  <c r="P1" i="39"/>
  <c r="O1" i="39"/>
  <c r="N1" i="39"/>
  <c r="M1" i="39"/>
  <c r="L1" i="39"/>
  <c r="K1" i="39"/>
  <c r="J1" i="39"/>
  <c r="I1" i="39"/>
  <c r="H1" i="39"/>
  <c r="G1" i="39"/>
  <c r="F1" i="39"/>
  <c r="E1" i="39"/>
  <c r="D1" i="39"/>
  <c r="C1" i="39"/>
  <c r="B1" i="39"/>
  <c r="R55" i="37"/>
  <c r="J55" i="37"/>
  <c r="S55" i="37"/>
  <c r="O55" i="37"/>
  <c r="G55" i="37"/>
  <c r="C55" i="37"/>
  <c r="N55" i="37"/>
  <c r="E55" i="37"/>
  <c r="Q55" i="37"/>
  <c r="I55" i="37"/>
  <c r="B55" i="37"/>
  <c r="K55" i="37"/>
  <c r="T1" i="37"/>
  <c r="S1" i="37"/>
  <c r="R1" i="37"/>
  <c r="Q1" i="37"/>
  <c r="P1" i="37"/>
  <c r="O1" i="37"/>
  <c r="N1" i="37"/>
  <c r="M1" i="37"/>
  <c r="L1" i="37"/>
  <c r="K1" i="37"/>
  <c r="J1" i="37"/>
  <c r="I1" i="37"/>
  <c r="H1" i="37"/>
  <c r="G1" i="37"/>
  <c r="F1" i="37"/>
  <c r="E1" i="37"/>
  <c r="D1" i="37"/>
  <c r="C1" i="37"/>
  <c r="B1" i="37"/>
  <c r="F4" i="25"/>
  <c r="T1" i="25"/>
  <c r="S1" i="25"/>
  <c r="R1" i="25"/>
  <c r="Q1" i="25"/>
  <c r="P1" i="25"/>
  <c r="O1" i="25"/>
  <c r="N1" i="25"/>
  <c r="M1" i="25"/>
  <c r="L1" i="25"/>
  <c r="K1" i="25"/>
  <c r="J1" i="25"/>
  <c r="I1" i="25"/>
  <c r="H1" i="25"/>
  <c r="G1" i="25"/>
  <c r="F1" i="25"/>
  <c r="E1" i="25"/>
  <c r="D1" i="25"/>
  <c r="C1" i="25"/>
  <c r="B1" i="25"/>
  <c r="T1" i="35"/>
  <c r="S1" i="35"/>
  <c r="R1" i="35"/>
  <c r="Q1" i="35"/>
  <c r="P1" i="35"/>
  <c r="O1" i="35"/>
  <c r="N1" i="35"/>
  <c r="M1" i="35"/>
  <c r="L1" i="35"/>
  <c r="K1" i="35"/>
  <c r="J1" i="35"/>
  <c r="I1" i="35"/>
  <c r="H1" i="35"/>
  <c r="G1" i="35"/>
  <c r="F1" i="35"/>
  <c r="E1" i="35"/>
  <c r="D1" i="35"/>
  <c r="C1" i="35"/>
  <c r="B1" i="35"/>
  <c r="T1" i="22"/>
  <c r="S1" i="22"/>
  <c r="R1" i="22"/>
  <c r="Q1" i="22"/>
  <c r="P1" i="22"/>
  <c r="O1" i="22"/>
  <c r="N1" i="22"/>
  <c r="M1" i="22"/>
  <c r="L1" i="22"/>
  <c r="K1" i="22"/>
  <c r="J1" i="22"/>
  <c r="I1" i="22"/>
  <c r="H1" i="22"/>
  <c r="G1" i="22"/>
  <c r="F1" i="22"/>
  <c r="E1" i="22"/>
  <c r="D1" i="22"/>
  <c r="C1" i="22"/>
  <c r="B1" i="22"/>
  <c r="T1" i="21"/>
  <c r="S1" i="21"/>
  <c r="R1" i="21"/>
  <c r="Q1" i="21"/>
  <c r="P1" i="21"/>
  <c r="O1" i="21"/>
  <c r="N1" i="21"/>
  <c r="M1" i="21"/>
  <c r="L1" i="21"/>
  <c r="K1" i="21"/>
  <c r="J1" i="21"/>
  <c r="I1" i="21"/>
  <c r="H1" i="21"/>
  <c r="G1" i="21"/>
  <c r="F1" i="21"/>
  <c r="E1" i="21"/>
  <c r="D1" i="21"/>
  <c r="C1" i="21"/>
  <c r="B1" i="21"/>
  <c r="T1" i="34"/>
  <c r="S1" i="34"/>
  <c r="R1" i="34"/>
  <c r="Q1" i="34"/>
  <c r="P1" i="34"/>
  <c r="O1" i="34"/>
  <c r="N1" i="34"/>
  <c r="M1" i="34"/>
  <c r="L1" i="34"/>
  <c r="K1" i="34"/>
  <c r="J1" i="34"/>
  <c r="I1" i="34"/>
  <c r="H1" i="34"/>
  <c r="G1" i="34"/>
  <c r="F1" i="34"/>
  <c r="E1" i="34"/>
  <c r="D1" i="34"/>
  <c r="B1" i="34"/>
  <c r="C1" i="34"/>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R10" i="25"/>
  <c r="R9" i="25"/>
  <c r="R8" i="25"/>
  <c r="R7" i="25"/>
  <c r="R6" i="25"/>
  <c r="R5" i="25"/>
  <c r="R4" i="25"/>
  <c r="R53" i="9"/>
  <c r="R52" i="9"/>
  <c r="R51" i="9"/>
  <c r="R50" i="9"/>
  <c r="R49" i="9"/>
  <c r="R48" i="9"/>
  <c r="R47" i="9"/>
  <c r="R46" i="9"/>
  <c r="R45" i="9"/>
  <c r="R44" i="9"/>
  <c r="R43" i="9"/>
  <c r="R42" i="9"/>
  <c r="R41" i="9"/>
  <c r="R40" i="9"/>
  <c r="R39" i="9"/>
  <c r="R38" i="9"/>
  <c r="R37" i="9"/>
  <c r="R36" i="9"/>
  <c r="R35" i="9"/>
  <c r="R34" i="9"/>
  <c r="R33" i="9"/>
  <c r="R32" i="9"/>
  <c r="R31" i="9"/>
  <c r="R30" i="9"/>
  <c r="R29" i="9"/>
  <c r="R28" i="9"/>
  <c r="R27" i="9"/>
  <c r="R26" i="9"/>
  <c r="R25" i="9"/>
  <c r="R24" i="9"/>
  <c r="R23" i="9"/>
  <c r="R22" i="9"/>
  <c r="R21" i="9"/>
  <c r="R20" i="9"/>
  <c r="R19" i="9"/>
  <c r="R18" i="9"/>
  <c r="R17" i="9"/>
  <c r="R16" i="9"/>
  <c r="R15" i="9"/>
  <c r="R14" i="9"/>
  <c r="R13" i="9"/>
  <c r="R12" i="9"/>
  <c r="R11" i="9"/>
  <c r="R10" i="9"/>
  <c r="R9" i="9"/>
  <c r="R8" i="9"/>
  <c r="R7" i="9"/>
  <c r="R6" i="9"/>
  <c r="R5" i="9"/>
  <c r="R4" i="9"/>
  <c r="H55" i="28"/>
  <c r="H53" i="28"/>
  <c r="H52" i="28"/>
  <c r="H51" i="28"/>
  <c r="H50" i="28"/>
  <c r="H49" i="28"/>
  <c r="H48" i="28"/>
  <c r="H47" i="28"/>
  <c r="H46" i="28"/>
  <c r="H45" i="28"/>
  <c r="H44" i="28"/>
  <c r="H43" i="28"/>
  <c r="H42" i="28"/>
  <c r="H41" i="28"/>
  <c r="H40" i="28"/>
  <c r="H39" i="28"/>
  <c r="H38" i="28"/>
  <c r="H37" i="28"/>
  <c r="H36" i="28"/>
  <c r="H35" i="28"/>
  <c r="H34" i="28"/>
  <c r="H33" i="28"/>
  <c r="H32" i="28"/>
  <c r="H31" i="28"/>
  <c r="H30" i="28"/>
  <c r="H29" i="28"/>
  <c r="H28" i="28"/>
  <c r="H27" i="28"/>
  <c r="H26" i="28"/>
  <c r="H25" i="28"/>
  <c r="H24" i="28"/>
  <c r="H23" i="28"/>
  <c r="H22" i="28"/>
  <c r="H21" i="28"/>
  <c r="H20" i="28"/>
  <c r="H19" i="28"/>
  <c r="H18" i="28"/>
  <c r="H17" i="28"/>
  <c r="H16" i="28"/>
  <c r="H15" i="28"/>
  <c r="H14" i="28"/>
  <c r="H13" i="28"/>
  <c r="H12" i="28"/>
  <c r="H11" i="28"/>
  <c r="H10" i="28"/>
  <c r="H9" i="28"/>
  <c r="H8" i="28"/>
  <c r="H7" i="28"/>
  <c r="H6" i="28"/>
  <c r="H5" i="28"/>
  <c r="H4" i="28"/>
  <c r="F55" i="28"/>
  <c r="K53" i="25"/>
  <c r="K52" i="25"/>
  <c r="K51" i="25"/>
  <c r="K50" i="25"/>
  <c r="K49" i="25"/>
  <c r="K48" i="25"/>
  <c r="K47" i="25"/>
  <c r="K46" i="25"/>
  <c r="K45" i="25"/>
  <c r="K44" i="25"/>
  <c r="K43" i="25"/>
  <c r="K42" i="25"/>
  <c r="K41" i="25"/>
  <c r="K40" i="25"/>
  <c r="K39" i="25"/>
  <c r="K38" i="25"/>
  <c r="K37" i="25"/>
  <c r="K36" i="25"/>
  <c r="K35" i="25"/>
  <c r="K34" i="25"/>
  <c r="K33" i="25"/>
  <c r="K32" i="25"/>
  <c r="K31" i="25"/>
  <c r="K30" i="25"/>
  <c r="K29" i="25"/>
  <c r="K28" i="25"/>
  <c r="K27" i="25"/>
  <c r="K26" i="25"/>
  <c r="K25" i="25"/>
  <c r="K24" i="25"/>
  <c r="K23" i="25"/>
  <c r="K22" i="25"/>
  <c r="K21" i="25"/>
  <c r="K20" i="25"/>
  <c r="K19" i="25"/>
  <c r="K18" i="25"/>
  <c r="K17" i="25"/>
  <c r="K16" i="25"/>
  <c r="K15" i="25"/>
  <c r="K14" i="25"/>
  <c r="K13" i="25"/>
  <c r="K12" i="25"/>
  <c r="K11" i="25"/>
  <c r="K10" i="25"/>
  <c r="K9" i="25"/>
  <c r="K8" i="25"/>
  <c r="K7" i="25"/>
  <c r="K6" i="25"/>
  <c r="K5" i="25"/>
  <c r="K4" i="25"/>
  <c r="K53" i="22"/>
  <c r="K52" i="22"/>
  <c r="K51" i="22"/>
  <c r="K50" i="22"/>
  <c r="K49" i="22"/>
  <c r="K48" i="22"/>
  <c r="K47" i="22"/>
  <c r="K46" i="22"/>
  <c r="K45" i="22"/>
  <c r="K44" i="22"/>
  <c r="K43" i="22"/>
  <c r="K42" i="22"/>
  <c r="K41" i="22"/>
  <c r="K40" i="22"/>
  <c r="K39" i="22"/>
  <c r="K38" i="22"/>
  <c r="K37" i="22"/>
  <c r="K36" i="22"/>
  <c r="K35" i="22"/>
  <c r="K34" i="22"/>
  <c r="K33" i="22"/>
  <c r="K32" i="22"/>
  <c r="K31" i="22"/>
  <c r="K30" i="22"/>
  <c r="K29" i="22"/>
  <c r="K28" i="22"/>
  <c r="K27" i="22"/>
  <c r="K26" i="22"/>
  <c r="K25" i="22"/>
  <c r="K24" i="22"/>
  <c r="K23" i="22"/>
  <c r="K22" i="22"/>
  <c r="K21" i="22"/>
  <c r="K20" i="22"/>
  <c r="K19" i="22"/>
  <c r="K18" i="22"/>
  <c r="K17" i="22"/>
  <c r="K16" i="22"/>
  <c r="K15" i="22"/>
  <c r="K14" i="22"/>
  <c r="K13" i="22"/>
  <c r="K12" i="22"/>
  <c r="K11" i="22"/>
  <c r="K10" i="22"/>
  <c r="K9" i="22"/>
  <c r="K8" i="22"/>
  <c r="K7" i="22"/>
  <c r="K6" i="22"/>
  <c r="K5" i="22"/>
  <c r="K4" i="22"/>
  <c r="K53" i="21"/>
  <c r="K52" i="21"/>
  <c r="K51" i="21"/>
  <c r="K50" i="21"/>
  <c r="K49" i="21"/>
  <c r="K48" i="21"/>
  <c r="K47" i="21"/>
  <c r="K46" i="21"/>
  <c r="K45" i="21"/>
  <c r="K44" i="21"/>
  <c r="K43" i="21"/>
  <c r="K42" i="21"/>
  <c r="K41" i="21"/>
  <c r="K40" i="21"/>
  <c r="K39" i="21"/>
  <c r="K38" i="21"/>
  <c r="K37" i="21"/>
  <c r="K36" i="21"/>
  <c r="K35" i="21"/>
  <c r="K34" i="21"/>
  <c r="K33" i="21"/>
  <c r="K32" i="21"/>
  <c r="K31" i="21"/>
  <c r="K30" i="21"/>
  <c r="K29" i="21"/>
  <c r="K28" i="21"/>
  <c r="K27" i="21"/>
  <c r="K26" i="21"/>
  <c r="K25" i="21"/>
  <c r="K24" i="21"/>
  <c r="K23" i="21"/>
  <c r="K22" i="21"/>
  <c r="K21" i="21"/>
  <c r="K20" i="21"/>
  <c r="K19" i="21"/>
  <c r="K18" i="21"/>
  <c r="K17" i="21"/>
  <c r="K16" i="21"/>
  <c r="K15" i="21"/>
  <c r="K14" i="21"/>
  <c r="K13" i="21"/>
  <c r="K12" i="21"/>
  <c r="K11" i="21"/>
  <c r="K10" i="21"/>
  <c r="K9" i="21"/>
  <c r="K8" i="21"/>
  <c r="K7" i="21"/>
  <c r="K6" i="21"/>
  <c r="K5" i="21"/>
  <c r="K4" i="21"/>
  <c r="K53" i="34"/>
  <c r="K52" i="34"/>
  <c r="K51" i="34"/>
  <c r="K50" i="34"/>
  <c r="K49" i="34"/>
  <c r="K48" i="34"/>
  <c r="K47" i="34"/>
  <c r="K46" i="34"/>
  <c r="K45" i="34"/>
  <c r="K44" i="34"/>
  <c r="K43" i="34"/>
  <c r="K42" i="34"/>
  <c r="K41" i="34"/>
  <c r="K40" i="34"/>
  <c r="K39" i="34"/>
  <c r="K38" i="34"/>
  <c r="K37" i="34"/>
  <c r="K36" i="34"/>
  <c r="K35" i="34"/>
  <c r="K34" i="34"/>
  <c r="K33" i="34"/>
  <c r="K32" i="34"/>
  <c r="K31" i="34"/>
  <c r="K30" i="34"/>
  <c r="K29" i="34"/>
  <c r="K28" i="34"/>
  <c r="K27" i="34"/>
  <c r="K26" i="34"/>
  <c r="K25" i="34"/>
  <c r="K24" i="34"/>
  <c r="K23" i="34"/>
  <c r="K22" i="34"/>
  <c r="K21" i="34"/>
  <c r="K20" i="34"/>
  <c r="K19" i="34"/>
  <c r="K18" i="34"/>
  <c r="K17" i="34"/>
  <c r="K16" i="34"/>
  <c r="K15" i="34"/>
  <c r="K14" i="34"/>
  <c r="K13" i="34"/>
  <c r="K12" i="34"/>
  <c r="K11" i="34"/>
  <c r="K10" i="34"/>
  <c r="K9" i="34"/>
  <c r="K8" i="34"/>
  <c r="K7" i="34"/>
  <c r="K6" i="34"/>
  <c r="K5" i="34"/>
  <c r="K4" i="34"/>
  <c r="F53" i="25"/>
  <c r="F52" i="25"/>
  <c r="F51" i="25"/>
  <c r="F50" i="25"/>
  <c r="F49" i="25"/>
  <c r="F48" i="25"/>
  <c r="F47" i="25"/>
  <c r="F46" i="25"/>
  <c r="F45" i="25"/>
  <c r="F44" i="25"/>
  <c r="F43" i="25"/>
  <c r="F42" i="25"/>
  <c r="F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3" i="25"/>
  <c r="F12" i="25"/>
  <c r="F11" i="25"/>
  <c r="F10" i="25"/>
  <c r="F9" i="25"/>
  <c r="F8" i="25"/>
  <c r="F7" i="25"/>
  <c r="F6" i="25"/>
  <c r="F5" i="25"/>
  <c r="F53" i="22"/>
  <c r="F52" i="22"/>
  <c r="F51" i="22"/>
  <c r="F50" i="22"/>
  <c r="F49" i="22"/>
  <c r="F48" i="22"/>
  <c r="F47" i="22"/>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F10" i="22"/>
  <c r="F9" i="22"/>
  <c r="F8" i="22"/>
  <c r="F7" i="22"/>
  <c r="F6" i="22"/>
  <c r="F5" i="22"/>
  <c r="F4" i="22"/>
  <c r="F53" i="21"/>
  <c r="F52" i="21"/>
  <c r="F51" i="21"/>
  <c r="F50" i="21"/>
  <c r="F49" i="21"/>
  <c r="F48" i="21"/>
  <c r="F47" i="21"/>
  <c r="F46" i="21"/>
  <c r="F45" i="21"/>
  <c r="F44" i="21"/>
  <c r="F43" i="21"/>
  <c r="F42" i="21"/>
  <c r="F41" i="21"/>
  <c r="F40" i="21"/>
  <c r="F39" i="21"/>
  <c r="F38" i="21"/>
  <c r="F37" i="21"/>
  <c r="F36" i="21"/>
  <c r="F35" i="21"/>
  <c r="F34" i="21"/>
  <c r="F33" i="21"/>
  <c r="F32" i="21"/>
  <c r="F31" i="21"/>
  <c r="F30" i="21"/>
  <c r="F29" i="21"/>
  <c r="F28" i="21"/>
  <c r="F27" i="21"/>
  <c r="F26" i="21"/>
  <c r="F25" i="21"/>
  <c r="F24" i="21"/>
  <c r="F23" i="21"/>
  <c r="F22" i="21"/>
  <c r="F21" i="21"/>
  <c r="F20" i="21"/>
  <c r="F19" i="21"/>
  <c r="F18" i="21"/>
  <c r="F17" i="21"/>
  <c r="F16" i="21"/>
  <c r="F15" i="21"/>
  <c r="F14" i="21"/>
  <c r="F13" i="21"/>
  <c r="F12" i="21"/>
  <c r="F11" i="21"/>
  <c r="F10" i="21"/>
  <c r="F9" i="21"/>
  <c r="F8" i="21"/>
  <c r="F7" i="21"/>
  <c r="F6" i="21"/>
  <c r="F5" i="21"/>
  <c r="F4" i="21"/>
  <c r="F53" i="34"/>
  <c r="F52" i="34"/>
  <c r="F51" i="34"/>
  <c r="F50" i="34"/>
  <c r="F49" i="34"/>
  <c r="F48" i="34"/>
  <c r="F47" i="34"/>
  <c r="F46" i="34"/>
  <c r="F45" i="34"/>
  <c r="F44" i="34"/>
  <c r="F43" i="34"/>
  <c r="F42" i="34"/>
  <c r="F41" i="34"/>
  <c r="F40" i="34"/>
  <c r="F39" i="34"/>
  <c r="F38" i="34"/>
  <c r="F37" i="34"/>
  <c r="F36" i="34"/>
  <c r="F35" i="34"/>
  <c r="F34" i="34"/>
  <c r="F33" i="34"/>
  <c r="F32" i="34"/>
  <c r="F31" i="34"/>
  <c r="F30" i="34"/>
  <c r="F29" i="34"/>
  <c r="F28" i="34"/>
  <c r="F27" i="34"/>
  <c r="F26" i="34"/>
  <c r="F25" i="34"/>
  <c r="F24" i="34"/>
  <c r="F23" i="34"/>
  <c r="F22" i="34"/>
  <c r="F21" i="34"/>
  <c r="F20" i="34"/>
  <c r="F19" i="34"/>
  <c r="F18" i="34"/>
  <c r="F17" i="34"/>
  <c r="F16" i="34"/>
  <c r="F15" i="34"/>
  <c r="F14" i="34"/>
  <c r="F13" i="34"/>
  <c r="F12" i="34"/>
  <c r="F11" i="34"/>
  <c r="F10" i="34"/>
  <c r="F9" i="34"/>
  <c r="F8" i="34"/>
  <c r="F7" i="34"/>
  <c r="F6" i="34"/>
  <c r="F5" i="34"/>
  <c r="F4" i="34"/>
  <c r="D55" i="39"/>
  <c r="F55" i="37"/>
  <c r="D55" i="37"/>
  <c r="H55" i="37"/>
  <c r="L55" i="37"/>
  <c r="P55" i="37"/>
  <c r="AE4" i="19"/>
  <c r="AH55" i="10"/>
  <c r="AG55" i="10"/>
  <c r="AF55" i="10"/>
  <c r="AE55" i="10"/>
  <c r="AH53" i="10"/>
  <c r="AG53" i="10"/>
  <c r="AH52" i="10"/>
  <c r="AG52" i="10"/>
  <c r="AH51" i="10"/>
  <c r="AG51" i="10"/>
  <c r="AH50" i="10"/>
  <c r="AG50" i="10"/>
  <c r="AH49" i="10"/>
  <c r="AG49" i="10"/>
  <c r="AH48" i="10"/>
  <c r="AG48" i="10"/>
  <c r="AH47" i="10"/>
  <c r="AG47" i="10"/>
  <c r="AH46" i="10"/>
  <c r="AG46" i="10"/>
  <c r="AH45" i="10"/>
  <c r="AG45" i="10"/>
  <c r="AH44" i="10"/>
  <c r="AG44" i="10"/>
  <c r="AH43" i="10"/>
  <c r="AG43" i="10"/>
  <c r="AH42" i="10"/>
  <c r="AG42" i="10"/>
  <c r="AH41" i="10"/>
  <c r="AG41" i="10"/>
  <c r="AH40" i="10"/>
  <c r="AG40" i="10"/>
  <c r="AH39" i="10"/>
  <c r="AG39" i="10"/>
  <c r="AH38" i="10"/>
  <c r="AG38" i="10"/>
  <c r="AH37" i="10"/>
  <c r="AG37" i="10"/>
  <c r="AH36" i="10"/>
  <c r="AG36" i="10"/>
  <c r="AH35" i="10"/>
  <c r="AG35" i="10"/>
  <c r="AH34" i="10"/>
  <c r="AG34" i="10"/>
  <c r="AH33" i="10"/>
  <c r="AG33" i="10"/>
  <c r="AH32" i="10"/>
  <c r="AG32" i="10"/>
  <c r="AH31" i="10"/>
  <c r="AG31" i="10"/>
  <c r="AH30" i="10"/>
  <c r="AG30" i="10"/>
  <c r="AH29" i="10"/>
  <c r="AG29" i="10"/>
  <c r="AH28" i="10"/>
  <c r="AG28" i="10"/>
  <c r="AH27" i="10"/>
  <c r="AG27" i="10"/>
  <c r="AH26" i="10"/>
  <c r="AG26" i="10"/>
  <c r="AH25" i="10"/>
  <c r="AG25" i="10"/>
  <c r="AH24" i="10"/>
  <c r="AG24" i="10"/>
  <c r="AH23" i="10"/>
  <c r="AG23" i="10"/>
  <c r="AH22" i="10"/>
  <c r="AG22" i="10"/>
  <c r="AH21" i="10"/>
  <c r="AG21" i="10"/>
  <c r="AH20" i="10"/>
  <c r="AG20" i="10"/>
  <c r="AH19" i="10"/>
  <c r="AG19" i="10"/>
  <c r="AH18" i="10"/>
  <c r="AG18" i="10"/>
  <c r="AH17" i="10"/>
  <c r="AG17" i="10"/>
  <c r="AH16" i="10"/>
  <c r="AG16" i="10"/>
  <c r="AH15" i="10"/>
  <c r="AG15" i="10"/>
  <c r="AH14" i="10"/>
  <c r="AG14" i="10"/>
  <c r="AH13" i="10"/>
  <c r="AG13" i="10"/>
  <c r="AH12" i="10"/>
  <c r="AG12" i="10"/>
  <c r="AH11" i="10"/>
  <c r="AG11" i="10"/>
  <c r="AH10" i="10"/>
  <c r="AG10" i="10"/>
  <c r="AH9" i="10"/>
  <c r="AG9" i="10"/>
  <c r="AH8" i="10"/>
  <c r="AG8" i="10"/>
  <c r="AH7" i="10"/>
  <c r="AG7" i="10"/>
  <c r="AH6" i="10"/>
  <c r="AG6" i="10"/>
  <c r="AH5" i="10"/>
  <c r="AG5" i="10"/>
  <c r="AH4" i="10"/>
  <c r="AG4" i="10"/>
  <c r="AE53" i="10"/>
  <c r="AE52" i="10"/>
  <c r="AE51" i="10"/>
  <c r="AE50" i="10"/>
  <c r="AE49" i="10"/>
  <c r="AE48" i="10"/>
  <c r="AE47" i="10"/>
  <c r="AE46" i="10"/>
  <c r="AE45" i="10"/>
  <c r="AE44" i="10"/>
  <c r="AE43" i="10"/>
  <c r="AE42" i="10"/>
  <c r="AE41" i="10"/>
  <c r="AE40" i="10"/>
  <c r="AE39" i="10"/>
  <c r="AE38" i="10"/>
  <c r="AE37" i="10"/>
  <c r="AE36" i="10"/>
  <c r="AE35" i="10"/>
  <c r="AE34" i="10"/>
  <c r="AE33" i="10"/>
  <c r="AE32" i="10"/>
  <c r="AE31" i="10"/>
  <c r="AE30" i="10"/>
  <c r="AE29" i="10"/>
  <c r="AE28" i="10"/>
  <c r="AE27" i="10"/>
  <c r="AE26" i="10"/>
  <c r="AE25" i="10"/>
  <c r="AE24" i="10"/>
  <c r="AE23" i="10"/>
  <c r="AE22" i="10"/>
  <c r="AE21" i="10"/>
  <c r="AE20" i="10"/>
  <c r="AE19" i="10"/>
  <c r="AE18" i="10"/>
  <c r="AE17" i="10"/>
  <c r="AE16" i="10"/>
  <c r="AE15" i="10"/>
  <c r="AE14" i="10"/>
  <c r="AE13" i="10"/>
  <c r="AE12" i="10"/>
  <c r="AE11" i="10"/>
  <c r="AE10" i="10"/>
  <c r="AE9" i="10"/>
  <c r="AE8" i="10"/>
  <c r="AE7" i="10"/>
  <c r="AE6" i="10"/>
  <c r="AE5" i="10"/>
  <c r="AE4" i="10"/>
  <c r="E53" i="25"/>
  <c r="E52" i="25"/>
  <c r="E51" i="25"/>
  <c r="E50" i="25"/>
  <c r="E49" i="25"/>
  <c r="E48" i="25"/>
  <c r="E47" i="25"/>
  <c r="E46" i="25"/>
  <c r="E45" i="25"/>
  <c r="E44" i="25"/>
  <c r="E43" i="25"/>
  <c r="E42" i="25"/>
  <c r="E41" i="25"/>
  <c r="E40" i="25"/>
  <c r="E39" i="25"/>
  <c r="E38" i="25"/>
  <c r="E37" i="25"/>
  <c r="E36" i="25"/>
  <c r="E35" i="25"/>
  <c r="E34" i="25"/>
  <c r="E33" i="25"/>
  <c r="E32" i="25"/>
  <c r="E31" i="25"/>
  <c r="E30" i="25"/>
  <c r="E29" i="25"/>
  <c r="E28" i="25"/>
  <c r="E27" i="25"/>
  <c r="E26" i="25"/>
  <c r="E25" i="25"/>
  <c r="E24" i="25"/>
  <c r="E23" i="25"/>
  <c r="E22" i="25"/>
  <c r="E21" i="25"/>
  <c r="E20" i="25"/>
  <c r="E19" i="25"/>
  <c r="E18" i="25"/>
  <c r="E17" i="25"/>
  <c r="E16" i="25"/>
  <c r="E15" i="25"/>
  <c r="E14" i="25"/>
  <c r="E13" i="25"/>
  <c r="E12" i="25"/>
  <c r="E11" i="25"/>
  <c r="E10" i="25"/>
  <c r="E9" i="25"/>
  <c r="E8" i="25"/>
  <c r="E7" i="25"/>
  <c r="E6" i="25"/>
  <c r="E5" i="25"/>
  <c r="E4" i="25"/>
  <c r="E53" i="22"/>
  <c r="E52" i="22"/>
  <c r="E51" i="22"/>
  <c r="E50" i="22"/>
  <c r="E49" i="22"/>
  <c r="E48" i="22"/>
  <c r="E47" i="22"/>
  <c r="E46" i="22"/>
  <c r="E45" i="22"/>
  <c r="E44" i="22"/>
  <c r="E43" i="22"/>
  <c r="E42" i="22"/>
  <c r="E41" i="22"/>
  <c r="E40" i="22"/>
  <c r="E39" i="22"/>
  <c r="E38" i="22"/>
  <c r="E37" i="22"/>
  <c r="E36" i="22"/>
  <c r="E35" i="22"/>
  <c r="E34" i="22"/>
  <c r="E33" i="22"/>
  <c r="E32" i="22"/>
  <c r="E31" i="22"/>
  <c r="E30" i="22"/>
  <c r="E29" i="22"/>
  <c r="E28" i="22"/>
  <c r="E27" i="22"/>
  <c r="E26" i="22"/>
  <c r="E25" i="22"/>
  <c r="E24" i="22"/>
  <c r="E23" i="22"/>
  <c r="E22" i="22"/>
  <c r="E21" i="22"/>
  <c r="E20" i="22"/>
  <c r="E19" i="22"/>
  <c r="E18" i="22"/>
  <c r="E17" i="22"/>
  <c r="E16" i="22"/>
  <c r="E15" i="22"/>
  <c r="E14" i="22"/>
  <c r="E13" i="22"/>
  <c r="E12" i="22"/>
  <c r="E11" i="22"/>
  <c r="E10" i="22"/>
  <c r="E9" i="22"/>
  <c r="E8" i="22"/>
  <c r="E7" i="22"/>
  <c r="E6" i="22"/>
  <c r="E5" i="22"/>
  <c r="E4" i="22"/>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1" i="21"/>
  <c r="E10" i="21"/>
  <c r="E9" i="21"/>
  <c r="E8" i="21"/>
  <c r="E7" i="21"/>
  <c r="E6" i="21"/>
  <c r="E5" i="21"/>
  <c r="E4" i="21"/>
  <c r="E53" i="34"/>
  <c r="E52" i="34"/>
  <c r="E51" i="34"/>
  <c r="E50" i="34"/>
  <c r="E49" i="34"/>
  <c r="E48" i="34"/>
  <c r="E47" i="34"/>
  <c r="E46" i="34"/>
  <c r="E45" i="34"/>
  <c r="E44" i="34"/>
  <c r="E43" i="34"/>
  <c r="E42" i="34"/>
  <c r="E41" i="34"/>
  <c r="E40" i="34"/>
  <c r="E39" i="34"/>
  <c r="E38" i="34"/>
  <c r="E37" i="34"/>
  <c r="E36" i="34"/>
  <c r="E35" i="34"/>
  <c r="E34" i="34"/>
  <c r="E33" i="34"/>
  <c r="E32" i="34"/>
  <c r="E31" i="34"/>
  <c r="E30" i="34"/>
  <c r="E29" i="34"/>
  <c r="E28" i="34"/>
  <c r="E27" i="34"/>
  <c r="E26" i="34"/>
  <c r="E25" i="34"/>
  <c r="E24" i="34"/>
  <c r="E23" i="34"/>
  <c r="E22" i="34"/>
  <c r="E21" i="34"/>
  <c r="E20" i="34"/>
  <c r="E19" i="34"/>
  <c r="E18" i="34"/>
  <c r="E17" i="34"/>
  <c r="E16" i="34"/>
  <c r="E15" i="34"/>
  <c r="E14" i="34"/>
  <c r="E13" i="34"/>
  <c r="E12" i="34"/>
  <c r="E11" i="34"/>
  <c r="E10" i="34"/>
  <c r="E9" i="34"/>
  <c r="E8" i="34"/>
  <c r="E7" i="34"/>
  <c r="E6" i="34"/>
  <c r="E5" i="34"/>
  <c r="E4" i="34"/>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E5" i="9"/>
  <c r="E4" i="9"/>
  <c r="J53" i="6"/>
  <c r="J52" i="6"/>
  <c r="J51" i="6"/>
  <c r="J50" i="6"/>
  <c r="J49" i="6"/>
  <c r="J48" i="6"/>
  <c r="J47" i="6"/>
  <c r="J46" i="6"/>
  <c r="J45" i="6"/>
  <c r="J44" i="6"/>
  <c r="J43"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J10" i="6"/>
  <c r="J9" i="6"/>
  <c r="J8" i="6"/>
  <c r="J7" i="6"/>
  <c r="J6" i="6"/>
  <c r="J5" i="6"/>
  <c r="J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4" i="6"/>
  <c r="AF53" i="10"/>
  <c r="AF52" i="10"/>
  <c r="AF51" i="10"/>
  <c r="AF50" i="10"/>
  <c r="AF49" i="10"/>
  <c r="AF48" i="10"/>
  <c r="AF47" i="10"/>
  <c r="AF46" i="10"/>
  <c r="AF45" i="10"/>
  <c r="AF44" i="10"/>
  <c r="AF43" i="10"/>
  <c r="AF42" i="10"/>
  <c r="AF41" i="10"/>
  <c r="AF40" i="10"/>
  <c r="AF39" i="10"/>
  <c r="AF38" i="10"/>
  <c r="AF37" i="10"/>
  <c r="AF36" i="10"/>
  <c r="AF35" i="10"/>
  <c r="AF34" i="10"/>
  <c r="AF33" i="10"/>
  <c r="AF32" i="10"/>
  <c r="AF31" i="10"/>
  <c r="AF30" i="10"/>
  <c r="AF29" i="10"/>
  <c r="AF28" i="10"/>
  <c r="AF27" i="10"/>
  <c r="AF26" i="10"/>
  <c r="AF25" i="10"/>
  <c r="AF24" i="10"/>
  <c r="AF23" i="10"/>
  <c r="AF22" i="10"/>
  <c r="AF21" i="10"/>
  <c r="AF20" i="10"/>
  <c r="AF19" i="10"/>
  <c r="AF18" i="10"/>
  <c r="AF17" i="10"/>
  <c r="AF16" i="10"/>
  <c r="AF15" i="10"/>
  <c r="AF14" i="10"/>
  <c r="AF13" i="10"/>
  <c r="AF12" i="10"/>
  <c r="AF11" i="10"/>
  <c r="AF10" i="10"/>
  <c r="AF9" i="10"/>
  <c r="AF8" i="10"/>
  <c r="AF7" i="10"/>
  <c r="AF6" i="10"/>
  <c r="AF5" i="10"/>
  <c r="AF4" i="10"/>
  <c r="H55" i="19"/>
  <c r="M53" i="19"/>
  <c r="M52" i="19"/>
  <c r="M51" i="19"/>
  <c r="M50" i="19"/>
  <c r="M49" i="19"/>
  <c r="M48" i="19"/>
  <c r="M47" i="19"/>
  <c r="M46" i="19"/>
  <c r="M45" i="19"/>
  <c r="M44" i="19"/>
  <c r="M43" i="19"/>
  <c r="M42" i="19"/>
  <c r="M41" i="19"/>
  <c r="M40" i="19"/>
  <c r="M39" i="19"/>
  <c r="M38" i="19"/>
  <c r="M37" i="19"/>
  <c r="M36" i="19"/>
  <c r="M35" i="19"/>
  <c r="M34" i="19"/>
  <c r="M33" i="19"/>
  <c r="M32" i="19"/>
  <c r="M31" i="19"/>
  <c r="M30" i="19"/>
  <c r="M29" i="19"/>
  <c r="M28" i="19"/>
  <c r="M27" i="19"/>
  <c r="M26" i="19"/>
  <c r="M25" i="19"/>
  <c r="M24" i="19"/>
  <c r="M23" i="19"/>
  <c r="M22" i="19"/>
  <c r="M21" i="19"/>
  <c r="M20" i="19"/>
  <c r="M19" i="19"/>
  <c r="M18" i="19"/>
  <c r="M17" i="19"/>
  <c r="M16" i="19"/>
  <c r="M15" i="19"/>
  <c r="M14" i="19"/>
  <c r="M13" i="19"/>
  <c r="M12" i="19"/>
  <c r="M11" i="19"/>
  <c r="M10" i="19"/>
  <c r="M9" i="19"/>
  <c r="M8" i="19"/>
  <c r="M7" i="19"/>
  <c r="M6" i="19"/>
  <c r="M5" i="19"/>
  <c r="M4" i="19"/>
  <c r="AH56" i="19"/>
  <c r="Z55" i="19"/>
  <c r="J55" i="19"/>
  <c r="I55" i="19"/>
  <c r="AK55" i="19"/>
  <c r="AJ55" i="19"/>
  <c r="AI55" i="19"/>
  <c r="AH55" i="19"/>
  <c r="Q53" i="25"/>
  <c r="Q52" i="25"/>
  <c r="Q51" i="25"/>
  <c r="Q50" i="25"/>
  <c r="Q49" i="25"/>
  <c r="Q48" i="25"/>
  <c r="Q47" i="25"/>
  <c r="Q46" i="25"/>
  <c r="Q45" i="25"/>
  <c r="Q44" i="25"/>
  <c r="Q43" i="25"/>
  <c r="Q42" i="25"/>
  <c r="Q41" i="25"/>
  <c r="Q40" i="25"/>
  <c r="Q39" i="25"/>
  <c r="Q38" i="25"/>
  <c r="Q37" i="25"/>
  <c r="Q36" i="25"/>
  <c r="Q35" i="25"/>
  <c r="Q34" i="25"/>
  <c r="Q33" i="25"/>
  <c r="Q32" i="25"/>
  <c r="Q31" i="25"/>
  <c r="Q30" i="25"/>
  <c r="Q29" i="25"/>
  <c r="Q28" i="25"/>
  <c r="Q27" i="25"/>
  <c r="Q26" i="25"/>
  <c r="Q25" i="25"/>
  <c r="Q24" i="25"/>
  <c r="Q23" i="25"/>
  <c r="Q22" i="25"/>
  <c r="Q21" i="25"/>
  <c r="Q20" i="25"/>
  <c r="Q19" i="25"/>
  <c r="Q18" i="25"/>
  <c r="Q17" i="25"/>
  <c r="Q16" i="25"/>
  <c r="Q15" i="25"/>
  <c r="Q14" i="25"/>
  <c r="Q13" i="25"/>
  <c r="Q12" i="25"/>
  <c r="Q11" i="25"/>
  <c r="Q10" i="25"/>
  <c r="Q9" i="25"/>
  <c r="Q8" i="25"/>
  <c r="Q7" i="25"/>
  <c r="Q6" i="25"/>
  <c r="Q5" i="25"/>
  <c r="Q4" i="25"/>
  <c r="Q53" i="22"/>
  <c r="Q52" i="22"/>
  <c r="Q51" i="22"/>
  <c r="Q50" i="22"/>
  <c r="Q49" i="22"/>
  <c r="Q48" i="22"/>
  <c r="Q47" i="22"/>
  <c r="Q46" i="22"/>
  <c r="Q45" i="22"/>
  <c r="Q44" i="22"/>
  <c r="Q43" i="22"/>
  <c r="Q42" i="22"/>
  <c r="Q41" i="22"/>
  <c r="Q40" i="22"/>
  <c r="Q39" i="22"/>
  <c r="Q38" i="22"/>
  <c r="Q37" i="22"/>
  <c r="Q36" i="22"/>
  <c r="Q35" i="22"/>
  <c r="Q34" i="22"/>
  <c r="Q33" i="22"/>
  <c r="Q32" i="22"/>
  <c r="Q31" i="22"/>
  <c r="Q30" i="22"/>
  <c r="Q29" i="22"/>
  <c r="Q28" i="22"/>
  <c r="Q27" i="22"/>
  <c r="Q26" i="22"/>
  <c r="Q25" i="22"/>
  <c r="Q24" i="22"/>
  <c r="Q23" i="22"/>
  <c r="Q22" i="22"/>
  <c r="Q21" i="22"/>
  <c r="Q20" i="22"/>
  <c r="Q19" i="22"/>
  <c r="Q18" i="22"/>
  <c r="Q17" i="22"/>
  <c r="Q16" i="22"/>
  <c r="Q15" i="22"/>
  <c r="Q14" i="22"/>
  <c r="Q13" i="22"/>
  <c r="Q12" i="22"/>
  <c r="Q11" i="22"/>
  <c r="Q10" i="22"/>
  <c r="Q9" i="22"/>
  <c r="Q8" i="22"/>
  <c r="Q7" i="22"/>
  <c r="Q6" i="22"/>
  <c r="Q5" i="22"/>
  <c r="Q4" i="22"/>
  <c r="Q53" i="21"/>
  <c r="Q52" i="21"/>
  <c r="Q51" i="21"/>
  <c r="Q50" i="21"/>
  <c r="Q49" i="21"/>
  <c r="Q48" i="21"/>
  <c r="Q47" i="21"/>
  <c r="Q46" i="21"/>
  <c r="Q45" i="21"/>
  <c r="Q44" i="21"/>
  <c r="Q43" i="21"/>
  <c r="Q42" i="21"/>
  <c r="Q41" i="21"/>
  <c r="Q40" i="21"/>
  <c r="Q39" i="21"/>
  <c r="Q38" i="21"/>
  <c r="Q37" i="21"/>
  <c r="Q36" i="21"/>
  <c r="Q35" i="21"/>
  <c r="Q34" i="21"/>
  <c r="Q33" i="21"/>
  <c r="Q32" i="21"/>
  <c r="Q31" i="21"/>
  <c r="Q30" i="21"/>
  <c r="Q29" i="21"/>
  <c r="Q28" i="21"/>
  <c r="Q27" i="21"/>
  <c r="Q26" i="21"/>
  <c r="Q25" i="21"/>
  <c r="Q24" i="21"/>
  <c r="Q23" i="21"/>
  <c r="Q22" i="21"/>
  <c r="Q21" i="21"/>
  <c r="Q20" i="21"/>
  <c r="Q19" i="21"/>
  <c r="Q18" i="21"/>
  <c r="Q17" i="21"/>
  <c r="Q16" i="21"/>
  <c r="Q15" i="21"/>
  <c r="Q14" i="21"/>
  <c r="Q13" i="21"/>
  <c r="Q12" i="21"/>
  <c r="Q11" i="21"/>
  <c r="Q10" i="21"/>
  <c r="Q9" i="21"/>
  <c r="Q8" i="21"/>
  <c r="Q7" i="21"/>
  <c r="Q6" i="21"/>
  <c r="Q5" i="21"/>
  <c r="Q4" i="21"/>
  <c r="Q53" i="34"/>
  <c r="Q52" i="34"/>
  <c r="Q51" i="34"/>
  <c r="Q50" i="34"/>
  <c r="Q49" i="34"/>
  <c r="Q48" i="34"/>
  <c r="Q47" i="34"/>
  <c r="Q46" i="34"/>
  <c r="Q45" i="34"/>
  <c r="Q44" i="34"/>
  <c r="Q43" i="34"/>
  <c r="Q42" i="34"/>
  <c r="Q41" i="34"/>
  <c r="Q40" i="34"/>
  <c r="Q39" i="34"/>
  <c r="Q38" i="34"/>
  <c r="Q37" i="34"/>
  <c r="Q36" i="34"/>
  <c r="Q35" i="34"/>
  <c r="Q34" i="34"/>
  <c r="Q33" i="34"/>
  <c r="Q32" i="34"/>
  <c r="Q31" i="34"/>
  <c r="Q30" i="34"/>
  <c r="Q29" i="34"/>
  <c r="Q28" i="34"/>
  <c r="Q27" i="34"/>
  <c r="Q26" i="34"/>
  <c r="Q25" i="34"/>
  <c r="Q24" i="34"/>
  <c r="Q23" i="34"/>
  <c r="Q22" i="34"/>
  <c r="Q21" i="34"/>
  <c r="Q20" i="34"/>
  <c r="Q19" i="34"/>
  <c r="Q18" i="34"/>
  <c r="Q17" i="34"/>
  <c r="Q16" i="34"/>
  <c r="Q15" i="34"/>
  <c r="Q14" i="34"/>
  <c r="Q13" i="34"/>
  <c r="Q12" i="34"/>
  <c r="Q11" i="34"/>
  <c r="Q10" i="34"/>
  <c r="Q9" i="34"/>
  <c r="Q8" i="34"/>
  <c r="Q7" i="34"/>
  <c r="Q6" i="34"/>
  <c r="Q5" i="34"/>
  <c r="Q4" i="34"/>
  <c r="AK53" i="19"/>
  <c r="AJ53" i="19"/>
  <c r="AI53" i="19"/>
  <c r="AH53" i="19"/>
  <c r="AK52" i="19"/>
  <c r="AJ52" i="19"/>
  <c r="AI52" i="19"/>
  <c r="AH52" i="19"/>
  <c r="AK51" i="19"/>
  <c r="AJ51" i="19"/>
  <c r="AI51" i="19"/>
  <c r="AH51" i="19"/>
  <c r="AK50" i="19"/>
  <c r="AJ50" i="19"/>
  <c r="AI50" i="19"/>
  <c r="AH50" i="19"/>
  <c r="AK49" i="19"/>
  <c r="AJ49" i="19"/>
  <c r="AI49" i="19"/>
  <c r="AH49" i="19"/>
  <c r="AK48" i="19"/>
  <c r="AJ48" i="19"/>
  <c r="AI48" i="19"/>
  <c r="AH48" i="19"/>
  <c r="AK47" i="19"/>
  <c r="AJ47" i="19"/>
  <c r="AI47" i="19"/>
  <c r="AH47" i="19"/>
  <c r="AK46" i="19"/>
  <c r="AJ46" i="19"/>
  <c r="AI46" i="19"/>
  <c r="AH46" i="19"/>
  <c r="AK45" i="19"/>
  <c r="AJ45" i="19"/>
  <c r="AI45" i="19"/>
  <c r="AH45" i="19"/>
  <c r="AK44" i="19"/>
  <c r="AJ44" i="19"/>
  <c r="AI44" i="19"/>
  <c r="AH44" i="19"/>
  <c r="AK43" i="19"/>
  <c r="AJ43" i="19"/>
  <c r="AI43" i="19"/>
  <c r="AH43" i="19"/>
  <c r="AK42" i="19"/>
  <c r="AJ42" i="19"/>
  <c r="AI42" i="19"/>
  <c r="AH42" i="19"/>
  <c r="AK41" i="19"/>
  <c r="AJ41" i="19"/>
  <c r="AI41" i="19"/>
  <c r="AH41" i="19"/>
  <c r="AK40" i="19"/>
  <c r="AJ40" i="19"/>
  <c r="AI40" i="19"/>
  <c r="AH40" i="19"/>
  <c r="AK39" i="19"/>
  <c r="AJ39" i="19"/>
  <c r="AI39" i="19"/>
  <c r="AH39" i="19"/>
  <c r="AK38" i="19"/>
  <c r="AJ38" i="19"/>
  <c r="AI38" i="19"/>
  <c r="AH38" i="19"/>
  <c r="AK37" i="19"/>
  <c r="AJ37" i="19"/>
  <c r="AI37" i="19"/>
  <c r="AH37" i="19"/>
  <c r="AK36" i="19"/>
  <c r="AJ36" i="19"/>
  <c r="AI36" i="19"/>
  <c r="AH36" i="19"/>
  <c r="AK35" i="19"/>
  <c r="AJ35" i="19"/>
  <c r="AI35" i="19"/>
  <c r="AH35" i="19"/>
  <c r="AK34" i="19"/>
  <c r="AJ34" i="19"/>
  <c r="AI34" i="19"/>
  <c r="AH34" i="19"/>
  <c r="AK33" i="19"/>
  <c r="AJ33" i="19"/>
  <c r="AI33" i="19"/>
  <c r="AH33" i="19"/>
  <c r="AK32" i="19"/>
  <c r="AJ32" i="19"/>
  <c r="AI32" i="19"/>
  <c r="AH32" i="19"/>
  <c r="AK31" i="19"/>
  <c r="AJ31" i="19"/>
  <c r="AI31" i="19"/>
  <c r="AH31" i="19"/>
  <c r="AK30" i="19"/>
  <c r="AJ30" i="19"/>
  <c r="AI30" i="19"/>
  <c r="AH30" i="19"/>
  <c r="AK29" i="19"/>
  <c r="AJ29" i="19"/>
  <c r="AI29" i="19"/>
  <c r="AH29" i="19"/>
  <c r="AK28" i="19"/>
  <c r="AJ28" i="19"/>
  <c r="AI28" i="19"/>
  <c r="AH28" i="19"/>
  <c r="AK27" i="19"/>
  <c r="AJ27" i="19"/>
  <c r="AI27" i="19"/>
  <c r="AH27" i="19"/>
  <c r="AK26" i="19"/>
  <c r="AJ26" i="19"/>
  <c r="AI26" i="19"/>
  <c r="AH26" i="19"/>
  <c r="AK25" i="19"/>
  <c r="AJ25" i="19"/>
  <c r="AI25" i="19"/>
  <c r="AH25" i="19"/>
  <c r="AK24" i="19"/>
  <c r="AJ24" i="19"/>
  <c r="AI24" i="19"/>
  <c r="AH24" i="19"/>
  <c r="AK23" i="19"/>
  <c r="AJ23" i="19"/>
  <c r="AI23" i="19"/>
  <c r="AH23" i="19"/>
  <c r="AK22" i="19"/>
  <c r="AJ22" i="19"/>
  <c r="AI22" i="19"/>
  <c r="AH22" i="19"/>
  <c r="AK21" i="19"/>
  <c r="AJ21" i="19"/>
  <c r="AI21" i="19"/>
  <c r="AH21" i="19"/>
  <c r="AK20" i="19"/>
  <c r="AJ20" i="19"/>
  <c r="AI20" i="19"/>
  <c r="AH20" i="19"/>
  <c r="AK19" i="19"/>
  <c r="AJ19" i="19"/>
  <c r="AI19" i="19"/>
  <c r="AH19" i="19"/>
  <c r="AK18" i="19"/>
  <c r="AJ18" i="19"/>
  <c r="AI18" i="19"/>
  <c r="AH18" i="19"/>
  <c r="AK17" i="19"/>
  <c r="AJ17" i="19"/>
  <c r="AI17" i="19"/>
  <c r="AH17" i="19"/>
  <c r="AK16" i="19"/>
  <c r="AJ16" i="19"/>
  <c r="AI16" i="19"/>
  <c r="AH16" i="19"/>
  <c r="AK15" i="19"/>
  <c r="AJ15" i="19"/>
  <c r="AI15" i="19"/>
  <c r="AH15" i="19"/>
  <c r="AK14" i="19"/>
  <c r="AJ14" i="19"/>
  <c r="AI14" i="19"/>
  <c r="AH14" i="19"/>
  <c r="AK13" i="19"/>
  <c r="AJ13" i="19"/>
  <c r="AI13" i="19"/>
  <c r="AH13" i="19"/>
  <c r="AK12" i="19"/>
  <c r="AJ12" i="19"/>
  <c r="AI12" i="19"/>
  <c r="AH12" i="19"/>
  <c r="AK11" i="19"/>
  <c r="AJ11" i="19"/>
  <c r="AI11" i="19"/>
  <c r="AH11" i="19"/>
  <c r="AK10" i="19"/>
  <c r="AJ10" i="19"/>
  <c r="AI10" i="19"/>
  <c r="AH10" i="19"/>
  <c r="AK9" i="19"/>
  <c r="AJ9" i="19"/>
  <c r="AI9" i="19"/>
  <c r="AH9" i="19"/>
  <c r="AK8" i="19"/>
  <c r="AJ8" i="19"/>
  <c r="AI8" i="19"/>
  <c r="AH8" i="19"/>
  <c r="AK7" i="19"/>
  <c r="AJ7" i="19"/>
  <c r="AI7" i="19"/>
  <c r="AH7" i="19"/>
  <c r="AK6" i="19"/>
  <c r="AJ6" i="19"/>
  <c r="AI6" i="19"/>
  <c r="AH6" i="19"/>
  <c r="AK5" i="19"/>
  <c r="AJ5" i="19"/>
  <c r="AI5" i="19"/>
  <c r="AH5" i="19"/>
  <c r="AF46" i="19"/>
  <c r="AE46" i="19"/>
  <c r="AF42" i="19"/>
  <c r="AE42" i="19"/>
  <c r="AF34" i="19"/>
  <c r="AF26" i="19"/>
  <c r="AE26" i="19"/>
  <c r="AF24" i="19"/>
  <c r="AF18" i="19"/>
  <c r="AB50" i="19"/>
  <c r="AA50" i="19"/>
  <c r="AB31" i="19"/>
  <c r="AC31" i="19"/>
  <c r="AA31" i="19"/>
  <c r="AB15" i="19"/>
  <c r="AF15" i="19"/>
  <c r="AA15" i="19"/>
  <c r="AC15" i="19"/>
  <c r="AB14" i="19"/>
  <c r="AA14" i="19"/>
  <c r="AB6" i="19"/>
  <c r="AA6" i="19"/>
  <c r="AB5" i="19"/>
  <c r="AA5" i="19"/>
  <c r="AB53" i="19"/>
  <c r="AF53" i="19"/>
  <c r="AA53" i="19"/>
  <c r="AC53" i="19"/>
  <c r="AB47" i="19"/>
  <c r="AA47" i="19"/>
  <c r="AB37" i="19"/>
  <c r="AF37" i="19"/>
  <c r="AA37" i="19"/>
  <c r="AE37" i="19"/>
  <c r="AB29" i="19"/>
  <c r="AA29" i="19"/>
  <c r="AB28" i="19"/>
  <c r="AA28" i="19"/>
  <c r="AB19" i="19"/>
  <c r="AC19" i="19"/>
  <c r="AA19" i="19"/>
  <c r="AB18" i="19"/>
  <c r="AA18" i="19"/>
  <c r="AB9" i="19"/>
  <c r="AA9" i="19"/>
  <c r="AB46" i="19"/>
  <c r="AA46" i="19"/>
  <c r="AB39" i="19"/>
  <c r="AC39" i="19"/>
  <c r="AA39" i="19"/>
  <c r="AE39" i="19"/>
  <c r="AB34" i="19"/>
  <c r="AA34" i="19"/>
  <c r="AC34" i="19"/>
  <c r="AE34" i="19"/>
  <c r="AB21" i="19"/>
  <c r="AC21" i="19"/>
  <c r="AA21" i="19"/>
  <c r="AE21" i="19"/>
  <c r="AB7" i="19"/>
  <c r="AF7" i="19"/>
  <c r="AA7" i="19"/>
  <c r="AB52" i="19"/>
  <c r="AA52" i="19"/>
  <c r="AB26" i="19"/>
  <c r="AA26" i="19"/>
  <c r="AB25" i="19"/>
  <c r="AA25" i="19"/>
  <c r="AB17" i="19"/>
  <c r="AF17" i="19"/>
  <c r="AA17" i="19"/>
  <c r="AC17" i="19"/>
  <c r="AB16" i="19"/>
  <c r="AC16" i="19"/>
  <c r="AA16" i="19"/>
  <c r="AE16" i="19"/>
  <c r="AB43" i="19"/>
  <c r="AF43" i="19"/>
  <c r="AA43" i="19"/>
  <c r="AC43" i="19"/>
  <c r="AB13" i="19"/>
  <c r="AA13" i="19"/>
  <c r="AB12" i="19"/>
  <c r="AA12" i="19"/>
  <c r="AB4" i="19"/>
  <c r="AC4" i="19"/>
  <c r="AA4" i="19"/>
  <c r="AB51" i="19"/>
  <c r="AA51" i="19"/>
  <c r="AB49" i="19"/>
  <c r="AA49" i="19"/>
  <c r="AB41" i="19"/>
  <c r="AA41" i="19"/>
  <c r="AB33" i="19"/>
  <c r="AA33" i="19"/>
  <c r="AB23" i="19"/>
  <c r="AF23" i="19"/>
  <c r="AA23" i="19"/>
  <c r="AB48" i="19"/>
  <c r="AA48" i="19"/>
  <c r="AB42" i="19"/>
  <c r="AA42" i="19"/>
  <c r="AB32" i="19"/>
  <c r="AC32" i="19"/>
  <c r="AA32" i="19"/>
  <c r="AE32" i="19"/>
  <c r="AB24" i="19"/>
  <c r="AA24" i="19"/>
  <c r="AB10" i="19"/>
  <c r="AA10" i="19"/>
  <c r="AC50" i="19"/>
  <c r="AE50" i="19"/>
  <c r="AC46" i="19"/>
  <c r="AC45" i="19"/>
  <c r="AC44" i="19"/>
  <c r="AC42" i="19"/>
  <c r="AC40" i="19"/>
  <c r="AC38" i="19"/>
  <c r="AC37" i="19"/>
  <c r="AC36" i="19"/>
  <c r="AC35" i="19"/>
  <c r="AC30" i="19"/>
  <c r="AC27" i="19"/>
  <c r="AC26" i="19"/>
  <c r="AC24" i="19"/>
  <c r="AE24" i="19"/>
  <c r="AC23" i="19"/>
  <c r="AC22" i="19"/>
  <c r="AC20" i="19"/>
  <c r="AC18" i="19"/>
  <c r="AE18" i="19"/>
  <c r="AC12" i="19"/>
  <c r="AE12" i="19"/>
  <c r="AC11" i="19"/>
  <c r="AC8" i="19"/>
  <c r="AC7" i="19"/>
  <c r="T53" i="29"/>
  <c r="S53" i="29"/>
  <c r="T52" i="29"/>
  <c r="S52" i="29"/>
  <c r="T51" i="29"/>
  <c r="S51" i="29"/>
  <c r="T50" i="29"/>
  <c r="S50" i="29"/>
  <c r="T49" i="29"/>
  <c r="S49" i="29"/>
  <c r="T48" i="29"/>
  <c r="S48" i="29"/>
  <c r="T47" i="29"/>
  <c r="S47" i="29"/>
  <c r="T46" i="29"/>
  <c r="S46" i="29"/>
  <c r="T45" i="29"/>
  <c r="S45" i="29"/>
  <c r="T44" i="29"/>
  <c r="S44" i="29"/>
  <c r="T43" i="29"/>
  <c r="S43" i="29"/>
  <c r="T42" i="29"/>
  <c r="S42" i="29"/>
  <c r="T41" i="29"/>
  <c r="S41" i="29"/>
  <c r="T40" i="29"/>
  <c r="S40" i="29"/>
  <c r="T39" i="29"/>
  <c r="S39" i="29"/>
  <c r="T38" i="29"/>
  <c r="S38" i="29"/>
  <c r="T37" i="29"/>
  <c r="S37" i="29"/>
  <c r="T36" i="29"/>
  <c r="S36" i="29"/>
  <c r="T35" i="29"/>
  <c r="S35" i="29"/>
  <c r="T34" i="29"/>
  <c r="S34" i="29"/>
  <c r="T33" i="29"/>
  <c r="S33" i="29"/>
  <c r="T32" i="29"/>
  <c r="S32" i="29"/>
  <c r="T31" i="29"/>
  <c r="S31" i="29"/>
  <c r="T30" i="29"/>
  <c r="S30" i="29"/>
  <c r="T29" i="29"/>
  <c r="S29" i="29"/>
  <c r="T28" i="29"/>
  <c r="S28" i="29"/>
  <c r="T27" i="29"/>
  <c r="S27" i="29"/>
  <c r="T26" i="29"/>
  <c r="S26" i="29"/>
  <c r="T25" i="29"/>
  <c r="S25" i="29"/>
  <c r="T24" i="29"/>
  <c r="S24" i="29"/>
  <c r="T23" i="29"/>
  <c r="S23" i="29"/>
  <c r="T22" i="29"/>
  <c r="S22" i="29"/>
  <c r="T21" i="29"/>
  <c r="S21" i="29"/>
  <c r="T20" i="29"/>
  <c r="S20" i="29"/>
  <c r="T19" i="29"/>
  <c r="S19" i="29"/>
  <c r="T18" i="29"/>
  <c r="S18" i="29"/>
  <c r="T17" i="29"/>
  <c r="S17" i="29"/>
  <c r="T16" i="29"/>
  <c r="S16" i="29"/>
  <c r="T15" i="29"/>
  <c r="S15" i="29"/>
  <c r="T14" i="29"/>
  <c r="S14" i="29"/>
  <c r="T13" i="29"/>
  <c r="S13" i="29"/>
  <c r="T12" i="29"/>
  <c r="S12" i="29"/>
  <c r="T11" i="29"/>
  <c r="S11" i="29"/>
  <c r="T10" i="29"/>
  <c r="S10" i="29"/>
  <c r="T9" i="29"/>
  <c r="S9" i="29"/>
  <c r="T8" i="29"/>
  <c r="S8" i="29"/>
  <c r="T7" i="29"/>
  <c r="S7" i="29"/>
  <c r="T6" i="29"/>
  <c r="S6" i="29"/>
  <c r="T5" i="29"/>
  <c r="S5" i="29"/>
  <c r="T4" i="29"/>
  <c r="S4" i="29"/>
  <c r="R53" i="19"/>
  <c r="W53" i="19"/>
  <c r="Q53" i="19"/>
  <c r="U53" i="19"/>
  <c r="R52" i="19"/>
  <c r="Q52" i="19"/>
  <c r="U52" i="19"/>
  <c r="R51" i="19"/>
  <c r="W51" i="19"/>
  <c r="Q51" i="19"/>
  <c r="U51" i="19"/>
  <c r="R50" i="19"/>
  <c r="Q50" i="19"/>
  <c r="U50" i="19"/>
  <c r="R49" i="19"/>
  <c r="W49" i="19"/>
  <c r="Q49" i="19"/>
  <c r="T49" i="19"/>
  <c r="R48" i="19"/>
  <c r="Q48" i="19"/>
  <c r="U48" i="19"/>
  <c r="R47" i="19"/>
  <c r="W47" i="19"/>
  <c r="Q47" i="19"/>
  <c r="U47" i="19"/>
  <c r="R46" i="19"/>
  <c r="Q46" i="19"/>
  <c r="U46" i="19"/>
  <c r="R45" i="19"/>
  <c r="W45" i="19"/>
  <c r="Q45" i="19"/>
  <c r="T45" i="19"/>
  <c r="R44" i="19"/>
  <c r="Q44" i="19"/>
  <c r="U44" i="19"/>
  <c r="R43" i="19"/>
  <c r="W43" i="19"/>
  <c r="Q43" i="19"/>
  <c r="U43" i="19"/>
  <c r="R42" i="19"/>
  <c r="Q42" i="19"/>
  <c r="U42" i="19"/>
  <c r="R41" i="19"/>
  <c r="W41" i="19"/>
  <c r="Q41" i="19"/>
  <c r="U41" i="19"/>
  <c r="R40" i="19"/>
  <c r="Q40" i="19"/>
  <c r="U40" i="19"/>
  <c r="R39" i="19"/>
  <c r="W39" i="19"/>
  <c r="Q39" i="19"/>
  <c r="U39" i="19"/>
  <c r="R38" i="19"/>
  <c r="Q38" i="19"/>
  <c r="U38" i="19"/>
  <c r="R37" i="19"/>
  <c r="W37" i="19"/>
  <c r="Q37" i="19"/>
  <c r="T37" i="19"/>
  <c r="R36" i="19"/>
  <c r="Q36" i="19"/>
  <c r="U36" i="19"/>
  <c r="R35" i="19"/>
  <c r="W35" i="19"/>
  <c r="Q35" i="19"/>
  <c r="U35" i="19"/>
  <c r="R34" i="19"/>
  <c r="Q34" i="19"/>
  <c r="U34" i="19"/>
  <c r="R33" i="19"/>
  <c r="W33" i="19"/>
  <c r="Q33" i="19"/>
  <c r="T33" i="19"/>
  <c r="R32" i="19"/>
  <c r="Q32" i="19"/>
  <c r="T32" i="19"/>
  <c r="R31" i="19"/>
  <c r="W31" i="19"/>
  <c r="Q31" i="19"/>
  <c r="U31" i="19"/>
  <c r="R30" i="19"/>
  <c r="Q30" i="19"/>
  <c r="U30" i="19"/>
  <c r="R29" i="19"/>
  <c r="W29" i="19"/>
  <c r="Q29" i="19"/>
  <c r="U29" i="19"/>
  <c r="R28" i="19"/>
  <c r="Q28" i="19"/>
  <c r="U28" i="19"/>
  <c r="R27" i="19"/>
  <c r="W27" i="19"/>
  <c r="Q27" i="19"/>
  <c r="T27" i="19"/>
  <c r="R26" i="19"/>
  <c r="Q26" i="19"/>
  <c r="U26" i="19"/>
  <c r="R25" i="19"/>
  <c r="W25" i="19"/>
  <c r="Q25" i="19"/>
  <c r="T25" i="19"/>
  <c r="R24" i="19"/>
  <c r="Q24" i="19"/>
  <c r="T24" i="19"/>
  <c r="R23" i="19"/>
  <c r="W23" i="19"/>
  <c r="Q23" i="19"/>
  <c r="T23" i="19"/>
  <c r="R22" i="19"/>
  <c r="Q22" i="19"/>
  <c r="U22" i="19"/>
  <c r="R21" i="19"/>
  <c r="W21" i="19"/>
  <c r="Q21" i="19"/>
  <c r="U21" i="19"/>
  <c r="R20" i="19"/>
  <c r="Q20" i="19"/>
  <c r="U20" i="19"/>
  <c r="R19" i="19"/>
  <c r="W19" i="19"/>
  <c r="Q19" i="19"/>
  <c r="U19" i="19"/>
  <c r="R18" i="19"/>
  <c r="Q18" i="19"/>
  <c r="U18" i="19"/>
  <c r="R17" i="19"/>
  <c r="W17" i="19"/>
  <c r="Q17" i="19"/>
  <c r="T17" i="19"/>
  <c r="R16" i="19"/>
  <c r="Q16" i="19"/>
  <c r="T16" i="19"/>
  <c r="R15" i="19"/>
  <c r="W15" i="19"/>
  <c r="Q15" i="19"/>
  <c r="U15" i="19"/>
  <c r="R14" i="19"/>
  <c r="Q14" i="19"/>
  <c r="U14" i="19"/>
  <c r="R13" i="19"/>
  <c r="W13" i="19"/>
  <c r="Q13" i="19"/>
  <c r="U13" i="19"/>
  <c r="R12" i="19"/>
  <c r="Q12" i="19"/>
  <c r="U12" i="19"/>
  <c r="R11" i="19"/>
  <c r="W11" i="19"/>
  <c r="Q11" i="19"/>
  <c r="T11" i="19"/>
  <c r="R10" i="19"/>
  <c r="Q10" i="19"/>
  <c r="U10" i="19"/>
  <c r="R9" i="19"/>
  <c r="W9" i="19"/>
  <c r="Q9" i="19"/>
  <c r="T9" i="19"/>
  <c r="R8" i="19"/>
  <c r="Q8" i="19"/>
  <c r="T8" i="19"/>
  <c r="R7" i="19"/>
  <c r="W7" i="19"/>
  <c r="Q7" i="19"/>
  <c r="T7" i="19"/>
  <c r="R6" i="19"/>
  <c r="Q6" i="19"/>
  <c r="U6" i="19"/>
  <c r="R5" i="19"/>
  <c r="W5" i="19"/>
  <c r="Q5" i="19"/>
  <c r="U5" i="19"/>
  <c r="R4" i="19"/>
  <c r="W4" i="19"/>
  <c r="Q4" i="19"/>
  <c r="L57" i="19"/>
  <c r="C57" i="19"/>
  <c r="B57" i="19"/>
  <c r="AF48" i="19"/>
  <c r="AF9" i="19"/>
  <c r="AF14" i="19"/>
  <c r="AC10" i="19"/>
  <c r="AF10" i="19"/>
  <c r="AF13" i="19"/>
  <c r="AF12" i="19"/>
  <c r="AF16" i="19"/>
  <c r="AF21" i="19"/>
  <c r="AF32" i="19"/>
  <c r="AF39" i="19"/>
  <c r="AF50" i="19"/>
  <c r="AE10" i="19"/>
  <c r="AC48" i="19"/>
  <c r="AE33" i="19"/>
  <c r="AC33" i="19"/>
  <c r="AC13" i="19"/>
  <c r="AE13" i="19"/>
  <c r="AC52" i="19"/>
  <c r="AF52" i="19"/>
  <c r="AC9" i="19"/>
  <c r="AE19" i="19"/>
  <c r="AC29" i="19"/>
  <c r="AF29" i="19"/>
  <c r="AC47" i="19"/>
  <c r="AE47" i="19"/>
  <c r="AE5" i="19"/>
  <c r="AC14" i="19"/>
  <c r="AE31" i="19"/>
  <c r="AE9" i="19"/>
  <c r="AE14" i="19"/>
  <c r="AE29" i="19"/>
  <c r="AE48" i="19"/>
  <c r="AF33" i="19"/>
  <c r="AC25" i="19"/>
  <c r="AE25" i="19"/>
  <c r="AF25" i="19"/>
  <c r="AF19" i="19"/>
  <c r="AF47" i="19"/>
  <c r="AF31" i="19"/>
  <c r="AF4" i="19"/>
  <c r="AC49" i="19"/>
  <c r="AF49" i="19"/>
  <c r="AE23" i="19"/>
  <c r="AE7" i="19"/>
  <c r="AE15" i="19"/>
  <c r="AE17" i="19"/>
  <c r="AE43" i="19"/>
  <c r="AE53" i="19"/>
  <c r="AC41" i="19"/>
  <c r="AE41" i="19"/>
  <c r="AC28" i="19"/>
  <c r="AE28" i="19"/>
  <c r="AC6" i="19"/>
  <c r="AF41" i="19"/>
  <c r="AC5" i="19"/>
  <c r="AF5" i="19"/>
  <c r="AC51" i="19"/>
  <c r="AF51" i="19"/>
  <c r="V9" i="19"/>
  <c r="T10" i="19"/>
  <c r="U24" i="19"/>
  <c r="V25" i="19"/>
  <c r="V7" i="19"/>
  <c r="V11" i="19"/>
  <c r="T26" i="19"/>
  <c r="U8" i="19"/>
  <c r="V23" i="19"/>
  <c r="V27" i="19"/>
  <c r="T15" i="19"/>
  <c r="T19" i="19"/>
  <c r="T35" i="19"/>
  <c r="T39" i="19"/>
  <c r="T43" i="19"/>
  <c r="T47" i="19"/>
  <c r="T53" i="19"/>
  <c r="V5" i="19"/>
  <c r="T13" i="19"/>
  <c r="U17" i="19"/>
  <c r="V21" i="19"/>
  <c r="T29" i="19"/>
  <c r="U33" i="19"/>
  <c r="U37" i="19"/>
  <c r="U45" i="19"/>
  <c r="U49" i="19"/>
  <c r="T5" i="19"/>
  <c r="U7" i="19"/>
  <c r="U9" i="19"/>
  <c r="U11" i="19"/>
  <c r="V13" i="19"/>
  <c r="U16" i="19"/>
  <c r="T18" i="19"/>
  <c r="T21" i="19"/>
  <c r="U23" i="19"/>
  <c r="U25" i="19"/>
  <c r="U27" i="19"/>
  <c r="V29" i="19"/>
  <c r="U32" i="19"/>
  <c r="T34" i="19"/>
  <c r="T36" i="19"/>
  <c r="T38" i="19"/>
  <c r="T40" i="19"/>
  <c r="T42" i="19"/>
  <c r="T44" i="19"/>
  <c r="T46" i="19"/>
  <c r="T48" i="19"/>
  <c r="T50" i="19"/>
  <c r="T52" i="19"/>
  <c r="T31" i="19"/>
  <c r="T41" i="19"/>
  <c r="T51" i="19"/>
  <c r="V4" i="19"/>
  <c r="V15" i="19"/>
  <c r="V17" i="19"/>
  <c r="V19" i="19"/>
  <c r="V31" i="19"/>
  <c r="V33" i="19"/>
  <c r="V35" i="19"/>
  <c r="V37" i="19"/>
  <c r="V39" i="19"/>
  <c r="V41" i="19"/>
  <c r="V43" i="19"/>
  <c r="V45" i="19"/>
  <c r="V47" i="19"/>
  <c r="V49" i="19"/>
  <c r="V51" i="19"/>
  <c r="V53" i="19"/>
  <c r="U4" i="19"/>
  <c r="T4" i="19"/>
  <c r="T12" i="19"/>
  <c r="T20" i="19"/>
  <c r="T28" i="19"/>
  <c r="W6" i="19"/>
  <c r="V6" i="19"/>
  <c r="W8" i="19"/>
  <c r="V8" i="19"/>
  <c r="W10" i="19"/>
  <c r="V10" i="19"/>
  <c r="W12" i="19"/>
  <c r="V12" i="19"/>
  <c r="W14" i="19"/>
  <c r="V14" i="19"/>
  <c r="W16" i="19"/>
  <c r="V16" i="19"/>
  <c r="W18" i="19"/>
  <c r="V18" i="19"/>
  <c r="W20" i="19"/>
  <c r="V20" i="19"/>
  <c r="W22" i="19"/>
  <c r="V22" i="19"/>
  <c r="W24" i="19"/>
  <c r="V24" i="19"/>
  <c r="W26" i="19"/>
  <c r="V26" i="19"/>
  <c r="W28" i="19"/>
  <c r="V28" i="19"/>
  <c r="W30" i="19"/>
  <c r="V30" i="19"/>
  <c r="W32" i="19"/>
  <c r="V32" i="19"/>
  <c r="W34" i="19"/>
  <c r="V34" i="19"/>
  <c r="W36" i="19"/>
  <c r="V36" i="19"/>
  <c r="W38" i="19"/>
  <c r="V38" i="19"/>
  <c r="W40" i="19"/>
  <c r="V40" i="19"/>
  <c r="W42" i="19"/>
  <c r="V42" i="19"/>
  <c r="W44" i="19"/>
  <c r="V44" i="19"/>
  <c r="W46" i="19"/>
  <c r="V46" i="19"/>
  <c r="W48" i="19"/>
  <c r="V48" i="19"/>
  <c r="W50" i="19"/>
  <c r="V50" i="19"/>
  <c r="W52" i="19"/>
  <c r="V52" i="19"/>
  <c r="T6" i="19"/>
  <c r="T14" i="19"/>
  <c r="T22" i="19"/>
  <c r="T30" i="19"/>
  <c r="J53" i="19"/>
  <c r="J52" i="19"/>
  <c r="J51" i="19"/>
  <c r="J50" i="19"/>
  <c r="J49" i="19"/>
  <c r="J48" i="19"/>
  <c r="J47" i="19"/>
  <c r="J46" i="19"/>
  <c r="J45" i="19"/>
  <c r="J44" i="19"/>
  <c r="J43" i="19"/>
  <c r="J42" i="19"/>
  <c r="J41" i="19"/>
  <c r="J40" i="19"/>
  <c r="J39" i="19"/>
  <c r="J38" i="19"/>
  <c r="J37" i="19"/>
  <c r="J36" i="19"/>
  <c r="J35" i="19"/>
  <c r="J34" i="19"/>
  <c r="J33" i="19"/>
  <c r="J32" i="19"/>
  <c r="J31" i="19"/>
  <c r="J30" i="19"/>
  <c r="J29" i="19"/>
  <c r="J28" i="19"/>
  <c r="J27" i="19"/>
  <c r="J26" i="19"/>
  <c r="J25" i="19"/>
  <c r="J24" i="19"/>
  <c r="J23" i="19"/>
  <c r="J22" i="19"/>
  <c r="J21" i="19"/>
  <c r="J20" i="19"/>
  <c r="J19" i="19"/>
  <c r="J18" i="19"/>
  <c r="J17" i="19"/>
  <c r="J16" i="19"/>
  <c r="J15" i="19"/>
  <c r="J14" i="19"/>
  <c r="J13" i="19"/>
  <c r="J12" i="19"/>
  <c r="J11" i="19"/>
  <c r="J10" i="19"/>
  <c r="J9" i="19"/>
  <c r="J8" i="19"/>
  <c r="J7" i="19"/>
  <c r="J6" i="19"/>
  <c r="J5" i="19"/>
  <c r="J4" i="19"/>
  <c r="Z7" i="19"/>
  <c r="Q7" i="35"/>
  <c r="Q15" i="35"/>
  <c r="T15" i="35"/>
  <c r="Z15" i="19"/>
  <c r="Z23" i="19"/>
  <c r="Q23" i="35"/>
  <c r="Z31" i="19"/>
  <c r="Q31" i="35"/>
  <c r="Z39" i="19"/>
  <c r="Q39" i="35"/>
  <c r="Z47" i="19"/>
  <c r="Q47" i="35"/>
  <c r="Z5" i="19"/>
  <c r="Q5" i="35"/>
  <c r="Z9" i="19"/>
  <c r="Q9" i="35"/>
  <c r="Q13" i="35"/>
  <c r="T13" i="35"/>
  <c r="Z13" i="19"/>
  <c r="Z17" i="19"/>
  <c r="Q17" i="35"/>
  <c r="Q21" i="35"/>
  <c r="T21" i="35"/>
  <c r="Z21" i="19"/>
  <c r="Z25" i="19"/>
  <c r="Q25" i="35"/>
  <c r="Q29" i="35"/>
  <c r="T29" i="35"/>
  <c r="Z29" i="19"/>
  <c r="Z33" i="19"/>
  <c r="Q33" i="35"/>
  <c r="Q37" i="35"/>
  <c r="T37" i="35"/>
  <c r="Z37" i="19"/>
  <c r="Z41" i="19"/>
  <c r="Q41" i="35"/>
  <c r="Q45" i="35"/>
  <c r="T45" i="35"/>
  <c r="Z45" i="19"/>
  <c r="Z49" i="19"/>
  <c r="Q49" i="35"/>
  <c r="Q53" i="35"/>
  <c r="T53" i="35"/>
  <c r="Z53" i="19"/>
  <c r="AE49" i="19"/>
  <c r="Q6" i="35"/>
  <c r="Z6" i="19"/>
  <c r="Q10" i="35"/>
  <c r="Z10" i="19"/>
  <c r="Q14" i="35"/>
  <c r="Z14" i="19"/>
  <c r="Q18" i="35"/>
  <c r="Z18" i="19"/>
  <c r="Q22" i="35"/>
  <c r="Z22" i="19"/>
  <c r="Q26" i="35"/>
  <c r="Z26" i="19"/>
  <c r="Q30" i="35"/>
  <c r="Z30" i="19"/>
  <c r="Q34" i="35"/>
  <c r="Z34" i="19"/>
  <c r="Q38" i="35"/>
  <c r="Z38" i="19"/>
  <c r="Q42" i="35"/>
  <c r="Z42" i="19"/>
  <c r="Q46" i="35"/>
  <c r="Z46" i="19"/>
  <c r="Q50" i="35"/>
  <c r="Z50" i="19"/>
  <c r="AF28" i="19"/>
  <c r="Z11" i="19"/>
  <c r="Q11" i="35"/>
  <c r="Q19" i="35"/>
  <c r="T19" i="35"/>
  <c r="Z19" i="19"/>
  <c r="Z27" i="19"/>
  <c r="Q27" i="35"/>
  <c r="Z35" i="19"/>
  <c r="Q35" i="35"/>
  <c r="Z43" i="19"/>
  <c r="Q43" i="35"/>
  <c r="Z51" i="19"/>
  <c r="Q51" i="35"/>
  <c r="AE6" i="19"/>
  <c r="AF6" i="19"/>
  <c r="Z4" i="19"/>
  <c r="Q4" i="35"/>
  <c r="Z8" i="19"/>
  <c r="Q8" i="35"/>
  <c r="Z12" i="19"/>
  <c r="Q12" i="35"/>
  <c r="Z16" i="19"/>
  <c r="Q16" i="35"/>
  <c r="Z20" i="19"/>
  <c r="Q20" i="35"/>
  <c r="Z24" i="19"/>
  <c r="Q24" i="35"/>
  <c r="Z28" i="19"/>
  <c r="Q28" i="35"/>
  <c r="Z32" i="19"/>
  <c r="Q32" i="35"/>
  <c r="Z36" i="19"/>
  <c r="Q36" i="35"/>
  <c r="Z40" i="19"/>
  <c r="Q40" i="35"/>
  <c r="Z44" i="19"/>
  <c r="Q44" i="35"/>
  <c r="Z48" i="19"/>
  <c r="Q48" i="35"/>
  <c r="Z52" i="19"/>
  <c r="Q52" i="35"/>
  <c r="AE51" i="19"/>
  <c r="AE52" i="19"/>
  <c r="O7" i="34"/>
  <c r="O53" i="25"/>
  <c r="O52" i="25"/>
  <c r="O51" i="25"/>
  <c r="O50" i="25"/>
  <c r="O49" i="25"/>
  <c r="O48" i="25"/>
  <c r="O47" i="25"/>
  <c r="O46" i="25"/>
  <c r="O45" i="25"/>
  <c r="O44" i="25"/>
  <c r="O43" i="25"/>
  <c r="O42" i="25"/>
  <c r="O41" i="25"/>
  <c r="O40" i="25"/>
  <c r="O39" i="25"/>
  <c r="O38" i="25"/>
  <c r="O37" i="25"/>
  <c r="O36" i="25"/>
  <c r="O35" i="25"/>
  <c r="O34" i="25"/>
  <c r="O33" i="25"/>
  <c r="O32" i="25"/>
  <c r="O31" i="25"/>
  <c r="O30" i="25"/>
  <c r="O29" i="25"/>
  <c r="O28" i="25"/>
  <c r="O27" i="25"/>
  <c r="O26" i="25"/>
  <c r="O25" i="25"/>
  <c r="O24" i="25"/>
  <c r="O23" i="25"/>
  <c r="O22" i="25"/>
  <c r="O21" i="25"/>
  <c r="O20" i="25"/>
  <c r="O19" i="25"/>
  <c r="O18" i="25"/>
  <c r="O17" i="25"/>
  <c r="O16" i="25"/>
  <c r="O15" i="25"/>
  <c r="O14" i="25"/>
  <c r="O13" i="25"/>
  <c r="O12" i="25"/>
  <c r="O11" i="25"/>
  <c r="O10" i="25"/>
  <c r="O9" i="25"/>
  <c r="O8" i="25"/>
  <c r="O7" i="25"/>
  <c r="O6" i="25"/>
  <c r="O5" i="25"/>
  <c r="O4" i="25"/>
  <c r="O53" i="22"/>
  <c r="O52" i="22"/>
  <c r="O51" i="22"/>
  <c r="O50" i="22"/>
  <c r="O49" i="22"/>
  <c r="O48" i="22"/>
  <c r="O47" i="22"/>
  <c r="O46" i="22"/>
  <c r="O45" i="22"/>
  <c r="O44" i="22"/>
  <c r="O43" i="22"/>
  <c r="O42" i="22"/>
  <c r="O41" i="22"/>
  <c r="O40" i="22"/>
  <c r="O39" i="22"/>
  <c r="O38" i="22"/>
  <c r="O37" i="22"/>
  <c r="O36" i="22"/>
  <c r="O35" i="22"/>
  <c r="O34" i="22"/>
  <c r="O33" i="22"/>
  <c r="O32" i="22"/>
  <c r="O31" i="22"/>
  <c r="O30" i="22"/>
  <c r="O29" i="22"/>
  <c r="O28" i="22"/>
  <c r="O27" i="22"/>
  <c r="O26" i="22"/>
  <c r="O25" i="22"/>
  <c r="O24" i="22"/>
  <c r="O23" i="22"/>
  <c r="O22" i="22"/>
  <c r="O21" i="22"/>
  <c r="O20" i="22"/>
  <c r="O19" i="22"/>
  <c r="O18" i="22"/>
  <c r="O17" i="22"/>
  <c r="O16" i="22"/>
  <c r="O15" i="22"/>
  <c r="O14" i="22"/>
  <c r="O13" i="22"/>
  <c r="O12" i="22"/>
  <c r="O11" i="22"/>
  <c r="O10" i="22"/>
  <c r="O9" i="22"/>
  <c r="O8" i="22"/>
  <c r="O7" i="22"/>
  <c r="O6" i="22"/>
  <c r="O5" i="22"/>
  <c r="O4" i="22"/>
  <c r="O53" i="21"/>
  <c r="O52" i="21"/>
  <c r="O51" i="21"/>
  <c r="O50" i="21"/>
  <c r="O49" i="21"/>
  <c r="O48" i="21"/>
  <c r="O47" i="21"/>
  <c r="O46" i="21"/>
  <c r="O45" i="21"/>
  <c r="O44" i="21"/>
  <c r="O43" i="21"/>
  <c r="O42" i="21"/>
  <c r="O41" i="21"/>
  <c r="O40" i="21"/>
  <c r="O39" i="21"/>
  <c r="O38" i="21"/>
  <c r="O37" i="21"/>
  <c r="O36" i="21"/>
  <c r="O35" i="21"/>
  <c r="O34" i="21"/>
  <c r="O33" i="21"/>
  <c r="O32" i="21"/>
  <c r="O31" i="21"/>
  <c r="O30" i="21"/>
  <c r="O29" i="21"/>
  <c r="O28" i="21"/>
  <c r="O27" i="21"/>
  <c r="O26" i="21"/>
  <c r="O25" i="21"/>
  <c r="O24" i="21"/>
  <c r="O23" i="21"/>
  <c r="O22" i="21"/>
  <c r="O21" i="21"/>
  <c r="O20" i="21"/>
  <c r="O19" i="21"/>
  <c r="O18" i="21"/>
  <c r="O17" i="21"/>
  <c r="O16" i="21"/>
  <c r="O15" i="21"/>
  <c r="O14" i="21"/>
  <c r="O13" i="21"/>
  <c r="O12" i="21"/>
  <c r="O11" i="21"/>
  <c r="O10" i="21"/>
  <c r="O9" i="21"/>
  <c r="O8" i="21"/>
  <c r="O7" i="21"/>
  <c r="O6" i="21"/>
  <c r="O5" i="21"/>
  <c r="O4" i="21"/>
  <c r="O53" i="34"/>
  <c r="O52" i="34"/>
  <c r="O51" i="34"/>
  <c r="O50" i="34"/>
  <c r="O49" i="34"/>
  <c r="O48" i="34"/>
  <c r="O47" i="34"/>
  <c r="O46" i="34"/>
  <c r="O45" i="34"/>
  <c r="O44" i="34"/>
  <c r="O43" i="34"/>
  <c r="O42" i="34"/>
  <c r="O41" i="34"/>
  <c r="O40" i="34"/>
  <c r="O39" i="34"/>
  <c r="O38" i="34"/>
  <c r="O37" i="34"/>
  <c r="O36" i="34"/>
  <c r="O35" i="34"/>
  <c r="O34" i="34"/>
  <c r="O33" i="34"/>
  <c r="O32" i="34"/>
  <c r="O31" i="34"/>
  <c r="O30" i="34"/>
  <c r="O29" i="34"/>
  <c r="O28" i="34"/>
  <c r="O27" i="34"/>
  <c r="O26" i="34"/>
  <c r="O25" i="34"/>
  <c r="O24" i="34"/>
  <c r="O23" i="34"/>
  <c r="O22" i="34"/>
  <c r="O21" i="34"/>
  <c r="O20" i="34"/>
  <c r="O19" i="34"/>
  <c r="O18" i="34"/>
  <c r="O17" i="34"/>
  <c r="O16" i="34"/>
  <c r="O15" i="34"/>
  <c r="O14" i="34"/>
  <c r="O13" i="34"/>
  <c r="O12" i="34"/>
  <c r="O11" i="34"/>
  <c r="O10" i="34"/>
  <c r="O9" i="34"/>
  <c r="O8" i="34"/>
  <c r="O6" i="34"/>
  <c r="O5" i="34"/>
  <c r="O4" i="34"/>
  <c r="V53" i="17"/>
  <c r="V52" i="17"/>
  <c r="V51" i="17"/>
  <c r="V50" i="17"/>
  <c r="V49" i="17"/>
  <c r="V48" i="17"/>
  <c r="V47" i="17"/>
  <c r="V46" i="17"/>
  <c r="V45" i="17"/>
  <c r="V44" i="17"/>
  <c r="V43" i="17"/>
  <c r="V42" i="17"/>
  <c r="V41" i="17"/>
  <c r="V40" i="17"/>
  <c r="V39" i="17"/>
  <c r="V38" i="17"/>
  <c r="V37" i="17"/>
  <c r="V36" i="17"/>
  <c r="V35" i="17"/>
  <c r="V34" i="17"/>
  <c r="V33" i="17"/>
  <c r="V32" i="17"/>
  <c r="V31" i="17"/>
  <c r="V30" i="17"/>
  <c r="V29" i="17"/>
  <c r="V28" i="17"/>
  <c r="V27" i="17"/>
  <c r="V26" i="17"/>
  <c r="V25" i="17"/>
  <c r="V24" i="17"/>
  <c r="V23" i="17"/>
  <c r="V22" i="17"/>
  <c r="V21" i="17"/>
  <c r="V20" i="17"/>
  <c r="V19" i="17"/>
  <c r="V18" i="17"/>
  <c r="V17" i="17"/>
  <c r="V16" i="17"/>
  <c r="V15" i="17"/>
  <c r="V14" i="17"/>
  <c r="V13" i="17"/>
  <c r="V12" i="17"/>
  <c r="V11" i="17"/>
  <c r="V10" i="17"/>
  <c r="V9" i="17"/>
  <c r="V8" i="17"/>
  <c r="V7" i="17"/>
  <c r="V6" i="17"/>
  <c r="V5" i="17"/>
  <c r="V4" i="17"/>
  <c r="M6" i="25"/>
  <c r="M4" i="21"/>
  <c r="I53" i="14"/>
  <c r="H53" i="14"/>
  <c r="G53" i="14"/>
  <c r="F53" i="14"/>
  <c r="I52" i="14"/>
  <c r="H52" i="14"/>
  <c r="G52" i="14"/>
  <c r="T53" i="21"/>
  <c r="F52" i="14"/>
  <c r="T53" i="39"/>
  <c r="I51" i="14"/>
  <c r="H51" i="14"/>
  <c r="G51" i="14"/>
  <c r="F51" i="14"/>
  <c r="T52" i="39"/>
  <c r="I50" i="14"/>
  <c r="H50" i="14"/>
  <c r="G50" i="14"/>
  <c r="F50" i="14"/>
  <c r="T51" i="39"/>
  <c r="I49" i="14"/>
  <c r="H49" i="14"/>
  <c r="G49" i="14"/>
  <c r="F49" i="14"/>
  <c r="T50" i="39"/>
  <c r="I48" i="14"/>
  <c r="H48" i="14"/>
  <c r="G48" i="14"/>
  <c r="F48" i="14"/>
  <c r="T49" i="39"/>
  <c r="I47" i="14"/>
  <c r="H47" i="14"/>
  <c r="G47" i="14"/>
  <c r="F47" i="14"/>
  <c r="T48" i="39"/>
  <c r="I46" i="14"/>
  <c r="H46" i="14"/>
  <c r="G46" i="14"/>
  <c r="F46" i="14"/>
  <c r="T47" i="39"/>
  <c r="I45" i="14"/>
  <c r="H45" i="14"/>
  <c r="G45" i="14"/>
  <c r="F45" i="14"/>
  <c r="T46" i="39"/>
  <c r="I44" i="14"/>
  <c r="H44" i="14"/>
  <c r="G44" i="14"/>
  <c r="T45" i="21"/>
  <c r="F44" i="14"/>
  <c r="T45" i="39"/>
  <c r="I43" i="14"/>
  <c r="H43" i="14"/>
  <c r="G43" i="14"/>
  <c r="F43" i="14"/>
  <c r="T44" i="39"/>
  <c r="I42" i="14"/>
  <c r="H42" i="14"/>
  <c r="G42" i="14"/>
  <c r="F42" i="14"/>
  <c r="T43" i="39"/>
  <c r="I41" i="14"/>
  <c r="H41" i="14"/>
  <c r="G41" i="14"/>
  <c r="F41" i="14"/>
  <c r="T42" i="39"/>
  <c r="I40" i="14"/>
  <c r="H40" i="14"/>
  <c r="T41" i="22"/>
  <c r="G40" i="14"/>
  <c r="F40" i="14"/>
  <c r="T41" i="39"/>
  <c r="I39" i="14"/>
  <c r="H39" i="14"/>
  <c r="G39" i="14"/>
  <c r="F39" i="14"/>
  <c r="T40" i="39"/>
  <c r="I38" i="14"/>
  <c r="H38" i="14"/>
  <c r="G38" i="14"/>
  <c r="F38" i="14"/>
  <c r="T39" i="39"/>
  <c r="I37" i="14"/>
  <c r="H37" i="14"/>
  <c r="G37" i="14"/>
  <c r="F37" i="14"/>
  <c r="T38" i="39"/>
  <c r="I36" i="14"/>
  <c r="H36" i="14"/>
  <c r="G36" i="14"/>
  <c r="T37" i="21"/>
  <c r="F36" i="14"/>
  <c r="T37" i="39"/>
  <c r="I35" i="14"/>
  <c r="H35" i="14"/>
  <c r="G35" i="14"/>
  <c r="F35" i="14"/>
  <c r="T36" i="39"/>
  <c r="I34" i="14"/>
  <c r="H34" i="14"/>
  <c r="G34" i="14"/>
  <c r="F34" i="14"/>
  <c r="T35" i="39"/>
  <c r="I33" i="14"/>
  <c r="H33" i="14"/>
  <c r="G33" i="14"/>
  <c r="F33" i="14"/>
  <c r="T34" i="39"/>
  <c r="I32" i="14"/>
  <c r="H32" i="14"/>
  <c r="G32" i="14"/>
  <c r="F32" i="14"/>
  <c r="T33" i="39"/>
  <c r="I31" i="14"/>
  <c r="H31" i="14"/>
  <c r="G31" i="14"/>
  <c r="F31" i="14"/>
  <c r="T32" i="39"/>
  <c r="I30" i="14"/>
  <c r="H30" i="14"/>
  <c r="G30" i="14"/>
  <c r="F30" i="14"/>
  <c r="T31" i="39"/>
  <c r="I29" i="14"/>
  <c r="H29" i="14"/>
  <c r="G29" i="14"/>
  <c r="F29" i="14"/>
  <c r="T30" i="39"/>
  <c r="I28" i="14"/>
  <c r="H28" i="14"/>
  <c r="G28" i="14"/>
  <c r="T29" i="21"/>
  <c r="F28" i="14"/>
  <c r="T29" i="39"/>
  <c r="I27" i="14"/>
  <c r="H27" i="14"/>
  <c r="G27" i="14"/>
  <c r="F27" i="14"/>
  <c r="T28" i="39"/>
  <c r="I26" i="14"/>
  <c r="H26" i="14"/>
  <c r="G26" i="14"/>
  <c r="F26" i="14"/>
  <c r="T27" i="39"/>
  <c r="I25" i="14"/>
  <c r="H25" i="14"/>
  <c r="G25" i="14"/>
  <c r="F25" i="14"/>
  <c r="T26" i="39"/>
  <c r="I24" i="14"/>
  <c r="H24" i="14"/>
  <c r="T25" i="22"/>
  <c r="G24" i="14"/>
  <c r="F24" i="14"/>
  <c r="T25" i="39"/>
  <c r="I23" i="14"/>
  <c r="H23" i="14"/>
  <c r="G23" i="14"/>
  <c r="F23" i="14"/>
  <c r="T24" i="39"/>
  <c r="I22" i="14"/>
  <c r="H22" i="14"/>
  <c r="G22" i="14"/>
  <c r="F22" i="14"/>
  <c r="T23" i="39"/>
  <c r="I21" i="14"/>
  <c r="H21" i="14"/>
  <c r="G21" i="14"/>
  <c r="F21" i="14"/>
  <c r="T22" i="39"/>
  <c r="I20" i="14"/>
  <c r="H20" i="14"/>
  <c r="G20" i="14"/>
  <c r="T21" i="21"/>
  <c r="F20" i="14"/>
  <c r="T21" i="39"/>
  <c r="I19" i="14"/>
  <c r="H19" i="14"/>
  <c r="G19" i="14"/>
  <c r="F19" i="14"/>
  <c r="T20" i="39"/>
  <c r="I18" i="14"/>
  <c r="H18" i="14"/>
  <c r="G18" i="14"/>
  <c r="F18" i="14"/>
  <c r="T19" i="39"/>
  <c r="I17" i="14"/>
  <c r="H17" i="14"/>
  <c r="G17" i="14"/>
  <c r="F17" i="14"/>
  <c r="T18" i="39"/>
  <c r="I16" i="14"/>
  <c r="H16" i="14"/>
  <c r="G16" i="14"/>
  <c r="F16" i="14"/>
  <c r="T17" i="39"/>
  <c r="I15" i="14"/>
  <c r="H15" i="14"/>
  <c r="G15" i="14"/>
  <c r="F15" i="14"/>
  <c r="T16" i="39"/>
  <c r="I14" i="14"/>
  <c r="H14" i="14"/>
  <c r="G14" i="14"/>
  <c r="F14" i="14"/>
  <c r="T15" i="39"/>
  <c r="I13" i="14"/>
  <c r="H13" i="14"/>
  <c r="G13" i="14"/>
  <c r="F13" i="14"/>
  <c r="T14" i="39"/>
  <c r="I12" i="14"/>
  <c r="H12" i="14"/>
  <c r="G12" i="14"/>
  <c r="T13" i="21"/>
  <c r="F12" i="14"/>
  <c r="T13" i="39"/>
  <c r="T12" i="39"/>
  <c r="I11" i="14"/>
  <c r="M11" i="25"/>
  <c r="H11" i="14"/>
  <c r="M11" i="22"/>
  <c r="G11" i="14"/>
  <c r="M11" i="21"/>
  <c r="F11" i="14"/>
  <c r="M11" i="39"/>
  <c r="T11" i="39"/>
  <c r="I10" i="14"/>
  <c r="M10" i="25"/>
  <c r="H10" i="14"/>
  <c r="M10" i="22"/>
  <c r="G10" i="14"/>
  <c r="M10" i="21"/>
  <c r="F10" i="14"/>
  <c r="M10" i="39"/>
  <c r="T10" i="39"/>
  <c r="I9" i="14"/>
  <c r="M9" i="25"/>
  <c r="H9" i="14"/>
  <c r="M9" i="22"/>
  <c r="T9" i="22"/>
  <c r="G9" i="14"/>
  <c r="M9" i="21"/>
  <c r="F9" i="14"/>
  <c r="M9" i="39"/>
  <c r="T9" i="39"/>
  <c r="I8" i="14"/>
  <c r="M8" i="25"/>
  <c r="H8" i="14"/>
  <c r="M8" i="22"/>
  <c r="T8" i="22"/>
  <c r="G8" i="14"/>
  <c r="M8" i="21"/>
  <c r="F8" i="14"/>
  <c r="M8" i="39"/>
  <c r="T8" i="39"/>
  <c r="I7" i="14"/>
  <c r="M7" i="25"/>
  <c r="H7" i="14"/>
  <c r="M7" i="22"/>
  <c r="G7" i="14"/>
  <c r="M7" i="21"/>
  <c r="F7" i="14"/>
  <c r="M7" i="39"/>
  <c r="T7" i="39"/>
  <c r="I6" i="14"/>
  <c r="H6" i="14"/>
  <c r="M6" i="22"/>
  <c r="G6" i="14"/>
  <c r="M6" i="21"/>
  <c r="F6" i="14"/>
  <c r="M6" i="39"/>
  <c r="T6" i="39"/>
  <c r="I5" i="14"/>
  <c r="M5" i="25"/>
  <c r="H5" i="14"/>
  <c r="M5" i="22"/>
  <c r="G5" i="14"/>
  <c r="M5" i="21"/>
  <c r="T5" i="21"/>
  <c r="F5" i="14"/>
  <c r="M5" i="39"/>
  <c r="T5" i="39"/>
  <c r="I4" i="14"/>
  <c r="M4" i="25"/>
  <c r="H4" i="14"/>
  <c r="M4" i="22"/>
  <c r="G4" i="14"/>
  <c r="F4" i="14"/>
  <c r="M4" i="39"/>
  <c r="J53" i="25"/>
  <c r="J52" i="25"/>
  <c r="J51" i="25"/>
  <c r="J50" i="25"/>
  <c r="J49" i="25"/>
  <c r="J48" i="25"/>
  <c r="J47" i="25"/>
  <c r="J46" i="25"/>
  <c r="J45" i="25"/>
  <c r="J44" i="25"/>
  <c r="J43" i="25"/>
  <c r="J42" i="25"/>
  <c r="J41" i="25"/>
  <c r="J40" i="25"/>
  <c r="J39" i="25"/>
  <c r="J38" i="25"/>
  <c r="J37" i="25"/>
  <c r="J36" i="25"/>
  <c r="J35" i="25"/>
  <c r="J34" i="25"/>
  <c r="J33" i="25"/>
  <c r="J32" i="25"/>
  <c r="J31" i="25"/>
  <c r="J30" i="25"/>
  <c r="J29" i="25"/>
  <c r="J28" i="25"/>
  <c r="J27" i="25"/>
  <c r="J26" i="25"/>
  <c r="J25" i="25"/>
  <c r="J24" i="25"/>
  <c r="J23" i="25"/>
  <c r="J22" i="25"/>
  <c r="J21" i="25"/>
  <c r="J20" i="25"/>
  <c r="J19" i="25"/>
  <c r="J18" i="25"/>
  <c r="J17" i="25"/>
  <c r="J16" i="25"/>
  <c r="J15" i="25"/>
  <c r="J14" i="25"/>
  <c r="J13" i="25"/>
  <c r="J12" i="25"/>
  <c r="J11" i="25"/>
  <c r="J10" i="25"/>
  <c r="J9" i="25"/>
  <c r="J8" i="25"/>
  <c r="J7" i="25"/>
  <c r="J6" i="25"/>
  <c r="J5" i="25"/>
  <c r="J4" i="25"/>
  <c r="J53" i="22"/>
  <c r="J52" i="22"/>
  <c r="J51" i="22"/>
  <c r="J50" i="22"/>
  <c r="J49" i="22"/>
  <c r="J48" i="22"/>
  <c r="J47" i="22"/>
  <c r="J46" i="22"/>
  <c r="J45" i="22"/>
  <c r="J44" i="22"/>
  <c r="J43" i="22"/>
  <c r="J42" i="22"/>
  <c r="J41" i="22"/>
  <c r="J40" i="22"/>
  <c r="J39" i="22"/>
  <c r="J38" i="22"/>
  <c r="J37" i="22"/>
  <c r="J36" i="22"/>
  <c r="J35" i="22"/>
  <c r="J34" i="22"/>
  <c r="J33" i="22"/>
  <c r="J32" i="22"/>
  <c r="J31" i="22"/>
  <c r="J30" i="22"/>
  <c r="J29" i="22"/>
  <c r="J28" i="22"/>
  <c r="J27" i="22"/>
  <c r="J26" i="22"/>
  <c r="J25" i="22"/>
  <c r="J24" i="22"/>
  <c r="J23" i="22"/>
  <c r="J22" i="22"/>
  <c r="J21" i="22"/>
  <c r="J20" i="22"/>
  <c r="J19" i="22"/>
  <c r="J18" i="22"/>
  <c r="J17" i="22"/>
  <c r="J16" i="22"/>
  <c r="J15" i="22"/>
  <c r="J14" i="22"/>
  <c r="J13" i="22"/>
  <c r="J12" i="22"/>
  <c r="J11" i="22"/>
  <c r="J10" i="22"/>
  <c r="J9" i="22"/>
  <c r="J8" i="22"/>
  <c r="J7" i="22"/>
  <c r="J6" i="22"/>
  <c r="J5" i="22"/>
  <c r="J4" i="22"/>
  <c r="J53" i="21"/>
  <c r="J52" i="21"/>
  <c r="J51" i="21"/>
  <c r="J50" i="21"/>
  <c r="J49" i="21"/>
  <c r="J48" i="21"/>
  <c r="J47" i="21"/>
  <c r="J46" i="21"/>
  <c r="J45" i="21"/>
  <c r="J44" i="21"/>
  <c r="J43" i="21"/>
  <c r="J42" i="21"/>
  <c r="J41" i="21"/>
  <c r="J40" i="21"/>
  <c r="J39" i="21"/>
  <c r="J38" i="21"/>
  <c r="J37" i="21"/>
  <c r="J36" i="21"/>
  <c r="J35" i="21"/>
  <c r="J34" i="21"/>
  <c r="J33" i="21"/>
  <c r="J32" i="21"/>
  <c r="J31" i="21"/>
  <c r="J30" i="21"/>
  <c r="J29" i="21"/>
  <c r="J28" i="21"/>
  <c r="J27" i="21"/>
  <c r="J26" i="21"/>
  <c r="J25" i="21"/>
  <c r="J24" i="21"/>
  <c r="J23" i="21"/>
  <c r="J22" i="21"/>
  <c r="J21" i="21"/>
  <c r="J20" i="21"/>
  <c r="J19" i="21"/>
  <c r="J18" i="21"/>
  <c r="J17" i="21"/>
  <c r="J16" i="21"/>
  <c r="J15" i="21"/>
  <c r="J14" i="21"/>
  <c r="J13" i="21"/>
  <c r="J12" i="21"/>
  <c r="J11" i="21"/>
  <c r="J10" i="21"/>
  <c r="J9" i="21"/>
  <c r="J8" i="21"/>
  <c r="J7" i="21"/>
  <c r="J6" i="21"/>
  <c r="J5" i="21"/>
  <c r="J4" i="21"/>
  <c r="J53" i="34"/>
  <c r="J52" i="34"/>
  <c r="J51" i="34"/>
  <c r="J50" i="34"/>
  <c r="J49" i="34"/>
  <c r="J48" i="34"/>
  <c r="J47" i="34"/>
  <c r="J46" i="34"/>
  <c r="J45" i="34"/>
  <c r="J44" i="34"/>
  <c r="J43" i="34"/>
  <c r="J42" i="34"/>
  <c r="J41" i="34"/>
  <c r="J40" i="34"/>
  <c r="J39" i="34"/>
  <c r="J38" i="34"/>
  <c r="J37" i="34"/>
  <c r="J36" i="34"/>
  <c r="J35" i="34"/>
  <c r="J34" i="34"/>
  <c r="J33" i="34"/>
  <c r="J32" i="34"/>
  <c r="J31" i="34"/>
  <c r="J30" i="34"/>
  <c r="J29" i="34"/>
  <c r="J28" i="34"/>
  <c r="J27" i="34"/>
  <c r="J26" i="34"/>
  <c r="J25" i="34"/>
  <c r="J24" i="34"/>
  <c r="J23" i="34"/>
  <c r="J22" i="34"/>
  <c r="J21" i="34"/>
  <c r="J20" i="34"/>
  <c r="J19" i="34"/>
  <c r="J18" i="34"/>
  <c r="J17" i="34"/>
  <c r="J16" i="34"/>
  <c r="J15" i="34"/>
  <c r="J14" i="34"/>
  <c r="J13" i="34"/>
  <c r="J12" i="34"/>
  <c r="J11" i="34"/>
  <c r="J10" i="34"/>
  <c r="J9" i="34"/>
  <c r="J8" i="34"/>
  <c r="J7" i="34"/>
  <c r="J6" i="34"/>
  <c r="J5" i="34"/>
  <c r="J4" i="34"/>
  <c r="W55" i="7"/>
  <c r="V55" i="7"/>
  <c r="U55" i="7"/>
  <c r="T55" i="7"/>
  <c r="W53" i="7"/>
  <c r="V53" i="7"/>
  <c r="U53" i="7"/>
  <c r="T53" i="7"/>
  <c r="W52" i="7"/>
  <c r="V52" i="7"/>
  <c r="U52" i="7"/>
  <c r="T52" i="7"/>
  <c r="W51" i="7"/>
  <c r="V51" i="7"/>
  <c r="U51" i="7"/>
  <c r="T51" i="7"/>
  <c r="W50" i="7"/>
  <c r="V50" i="7"/>
  <c r="U50" i="7"/>
  <c r="T50" i="7"/>
  <c r="W49" i="7"/>
  <c r="V49" i="7"/>
  <c r="U49" i="7"/>
  <c r="T49" i="7"/>
  <c r="W48" i="7"/>
  <c r="V48" i="7"/>
  <c r="U48" i="7"/>
  <c r="T48" i="7"/>
  <c r="W47" i="7"/>
  <c r="V47" i="7"/>
  <c r="U47" i="7"/>
  <c r="T47" i="7"/>
  <c r="W46" i="7"/>
  <c r="V46" i="7"/>
  <c r="U46" i="7"/>
  <c r="T46" i="7"/>
  <c r="W45" i="7"/>
  <c r="V45" i="7"/>
  <c r="U45" i="7"/>
  <c r="T45" i="7"/>
  <c r="W44" i="7"/>
  <c r="V44" i="7"/>
  <c r="U44" i="7"/>
  <c r="T44" i="7"/>
  <c r="W43" i="7"/>
  <c r="V43" i="7"/>
  <c r="U43" i="7"/>
  <c r="T43" i="7"/>
  <c r="W42" i="7"/>
  <c r="V42" i="7"/>
  <c r="U42" i="7"/>
  <c r="T42" i="7"/>
  <c r="W41" i="7"/>
  <c r="V41" i="7"/>
  <c r="U41" i="7"/>
  <c r="T41" i="7"/>
  <c r="W40" i="7"/>
  <c r="V40" i="7"/>
  <c r="U40" i="7"/>
  <c r="T40" i="7"/>
  <c r="W39" i="7"/>
  <c r="V39" i="7"/>
  <c r="U39" i="7"/>
  <c r="T39" i="7"/>
  <c r="W38" i="7"/>
  <c r="V38" i="7"/>
  <c r="U38" i="7"/>
  <c r="T38" i="7"/>
  <c r="W37" i="7"/>
  <c r="V37" i="7"/>
  <c r="U37" i="7"/>
  <c r="T37" i="7"/>
  <c r="W36" i="7"/>
  <c r="V36" i="7"/>
  <c r="U36" i="7"/>
  <c r="T36" i="7"/>
  <c r="W35" i="7"/>
  <c r="V35" i="7"/>
  <c r="U35" i="7"/>
  <c r="T35" i="7"/>
  <c r="W34" i="7"/>
  <c r="V34" i="7"/>
  <c r="U34" i="7"/>
  <c r="T34" i="7"/>
  <c r="W33" i="7"/>
  <c r="V33" i="7"/>
  <c r="U33" i="7"/>
  <c r="T33" i="7"/>
  <c r="W32" i="7"/>
  <c r="V32" i="7"/>
  <c r="U32" i="7"/>
  <c r="T32" i="7"/>
  <c r="W31" i="7"/>
  <c r="V31" i="7"/>
  <c r="U31" i="7"/>
  <c r="T31" i="7"/>
  <c r="W30" i="7"/>
  <c r="V30" i="7"/>
  <c r="U30" i="7"/>
  <c r="T30" i="7"/>
  <c r="W29" i="7"/>
  <c r="V29" i="7"/>
  <c r="U29" i="7"/>
  <c r="T29" i="7"/>
  <c r="W28" i="7"/>
  <c r="V28" i="7"/>
  <c r="U28" i="7"/>
  <c r="T28" i="7"/>
  <c r="W27" i="7"/>
  <c r="V27" i="7"/>
  <c r="U27" i="7"/>
  <c r="T27" i="7"/>
  <c r="W26" i="7"/>
  <c r="V26" i="7"/>
  <c r="U26" i="7"/>
  <c r="T26" i="7"/>
  <c r="W25" i="7"/>
  <c r="V25" i="7"/>
  <c r="U25" i="7"/>
  <c r="T25" i="7"/>
  <c r="W24" i="7"/>
  <c r="V24" i="7"/>
  <c r="U24" i="7"/>
  <c r="T24" i="7"/>
  <c r="W23" i="7"/>
  <c r="V23" i="7"/>
  <c r="U23" i="7"/>
  <c r="T23" i="7"/>
  <c r="W22" i="7"/>
  <c r="V22" i="7"/>
  <c r="U22" i="7"/>
  <c r="T22" i="7"/>
  <c r="W21" i="7"/>
  <c r="V21" i="7"/>
  <c r="U21" i="7"/>
  <c r="T21" i="7"/>
  <c r="W20" i="7"/>
  <c r="V20" i="7"/>
  <c r="U20" i="7"/>
  <c r="T20" i="7"/>
  <c r="W19" i="7"/>
  <c r="V19" i="7"/>
  <c r="U19" i="7"/>
  <c r="T19" i="7"/>
  <c r="W18" i="7"/>
  <c r="V18" i="7"/>
  <c r="U18" i="7"/>
  <c r="T18" i="7"/>
  <c r="W17" i="7"/>
  <c r="V17" i="7"/>
  <c r="U17" i="7"/>
  <c r="T17" i="7"/>
  <c r="W16" i="7"/>
  <c r="V16" i="7"/>
  <c r="U16" i="7"/>
  <c r="T16" i="7"/>
  <c r="W15" i="7"/>
  <c r="V15" i="7"/>
  <c r="U15" i="7"/>
  <c r="T15" i="7"/>
  <c r="W14" i="7"/>
  <c r="V14" i="7"/>
  <c r="U14" i="7"/>
  <c r="T14" i="7"/>
  <c r="W13" i="7"/>
  <c r="V13" i="7"/>
  <c r="U13" i="7"/>
  <c r="T13" i="7"/>
  <c r="W12" i="7"/>
  <c r="V12" i="7"/>
  <c r="U12" i="7"/>
  <c r="T12" i="7"/>
  <c r="W11" i="7"/>
  <c r="V11" i="7"/>
  <c r="U11" i="7"/>
  <c r="T11" i="7"/>
  <c r="W10" i="7"/>
  <c r="V10" i="7"/>
  <c r="U10" i="7"/>
  <c r="T10" i="7"/>
  <c r="W9" i="7"/>
  <c r="V9" i="7"/>
  <c r="U9" i="7"/>
  <c r="T9" i="7"/>
  <c r="W8" i="7"/>
  <c r="V8" i="7"/>
  <c r="U8" i="7"/>
  <c r="T8" i="7"/>
  <c r="W7" i="7"/>
  <c r="V7" i="7"/>
  <c r="U7" i="7"/>
  <c r="T7" i="7"/>
  <c r="W6" i="7"/>
  <c r="V6" i="7"/>
  <c r="U6" i="7"/>
  <c r="W5" i="7"/>
  <c r="V5" i="7"/>
  <c r="U5" i="7"/>
  <c r="T5" i="7"/>
  <c r="W4" i="7"/>
  <c r="V4" i="7"/>
  <c r="U4" i="7"/>
  <c r="T4" i="7"/>
  <c r="T6" i="7"/>
  <c r="H55" i="7"/>
  <c r="G55" i="7"/>
  <c r="F55" i="7"/>
  <c r="E55" i="7"/>
  <c r="D55" i="7"/>
  <c r="L53" i="22"/>
  <c r="L52" i="22"/>
  <c r="L51" i="22"/>
  <c r="L50" i="22"/>
  <c r="L49" i="22"/>
  <c r="L48" i="22"/>
  <c r="L47" i="22"/>
  <c r="L46" i="22"/>
  <c r="L45" i="22"/>
  <c r="L44" i="22"/>
  <c r="L43" i="22"/>
  <c r="L42" i="22"/>
  <c r="L41" i="22"/>
  <c r="L40" i="22"/>
  <c r="L39" i="22"/>
  <c r="L38" i="22"/>
  <c r="L37" i="22"/>
  <c r="L36" i="22"/>
  <c r="L35" i="22"/>
  <c r="L34" i="22"/>
  <c r="L33" i="22"/>
  <c r="L32" i="22"/>
  <c r="L31" i="22"/>
  <c r="L30" i="22"/>
  <c r="L29" i="22"/>
  <c r="L28" i="22"/>
  <c r="L27" i="22"/>
  <c r="L26" i="22"/>
  <c r="L25" i="22"/>
  <c r="L24" i="22"/>
  <c r="L23" i="22"/>
  <c r="L22" i="22"/>
  <c r="L21" i="22"/>
  <c r="L20" i="22"/>
  <c r="L19" i="22"/>
  <c r="L18" i="22"/>
  <c r="L17" i="22"/>
  <c r="L16" i="22"/>
  <c r="L15" i="22"/>
  <c r="L14" i="22"/>
  <c r="L13" i="22"/>
  <c r="L12" i="22"/>
  <c r="L11" i="22"/>
  <c r="L10" i="22"/>
  <c r="L9" i="22"/>
  <c r="L8" i="22"/>
  <c r="L7" i="22"/>
  <c r="L6" i="22"/>
  <c r="L5" i="22"/>
  <c r="L4" i="22"/>
  <c r="L53" i="21"/>
  <c r="L52" i="21"/>
  <c r="L51" i="21"/>
  <c r="L50" i="21"/>
  <c r="L49" i="21"/>
  <c r="L48" i="21"/>
  <c r="L47" i="21"/>
  <c r="L46" i="21"/>
  <c r="L45" i="21"/>
  <c r="L44" i="21"/>
  <c r="L43" i="21"/>
  <c r="L42" i="21"/>
  <c r="L41" i="21"/>
  <c r="L40" i="21"/>
  <c r="L39" i="21"/>
  <c r="L38" i="21"/>
  <c r="L37" i="21"/>
  <c r="L36" i="21"/>
  <c r="L35" i="21"/>
  <c r="L34" i="21"/>
  <c r="L33" i="21"/>
  <c r="L32" i="21"/>
  <c r="L31" i="21"/>
  <c r="L30" i="21"/>
  <c r="L29" i="21"/>
  <c r="L28" i="21"/>
  <c r="L27" i="21"/>
  <c r="L26" i="21"/>
  <c r="L25" i="21"/>
  <c r="L24" i="21"/>
  <c r="L23" i="21"/>
  <c r="L22" i="21"/>
  <c r="L21" i="21"/>
  <c r="L20" i="21"/>
  <c r="L19" i="21"/>
  <c r="L18" i="21"/>
  <c r="L17" i="21"/>
  <c r="L16" i="21"/>
  <c r="L15" i="21"/>
  <c r="L14" i="21"/>
  <c r="L13" i="21"/>
  <c r="L12" i="21"/>
  <c r="L11" i="21"/>
  <c r="L10" i="21"/>
  <c r="L9" i="21"/>
  <c r="L8" i="21"/>
  <c r="L7" i="21"/>
  <c r="L6" i="21"/>
  <c r="L5" i="21"/>
  <c r="L4" i="21"/>
  <c r="L53" i="34"/>
  <c r="L52" i="34"/>
  <c r="L51" i="34"/>
  <c r="L50" i="34"/>
  <c r="L49" i="34"/>
  <c r="L48" i="34"/>
  <c r="L47" i="34"/>
  <c r="L46" i="34"/>
  <c r="L45" i="34"/>
  <c r="L44" i="34"/>
  <c r="L43" i="34"/>
  <c r="L42" i="34"/>
  <c r="L41" i="34"/>
  <c r="L40" i="34"/>
  <c r="L39" i="34"/>
  <c r="L38" i="34"/>
  <c r="L37" i="34"/>
  <c r="L36" i="34"/>
  <c r="L35" i="34"/>
  <c r="L34" i="34"/>
  <c r="L33" i="34"/>
  <c r="L32" i="34"/>
  <c r="L31" i="34"/>
  <c r="L30" i="34"/>
  <c r="L29" i="34"/>
  <c r="L28" i="34"/>
  <c r="L27" i="34"/>
  <c r="L26" i="34"/>
  <c r="L25" i="34"/>
  <c r="L24" i="34"/>
  <c r="L23" i="34"/>
  <c r="L22" i="34"/>
  <c r="L21" i="34"/>
  <c r="L20" i="34"/>
  <c r="L19" i="34"/>
  <c r="L18" i="34"/>
  <c r="L17" i="34"/>
  <c r="L16" i="34"/>
  <c r="L15" i="34"/>
  <c r="L14" i="34"/>
  <c r="L13" i="34"/>
  <c r="L12" i="34"/>
  <c r="L11" i="34"/>
  <c r="L10" i="34"/>
  <c r="L9" i="34"/>
  <c r="L8" i="34"/>
  <c r="L7" i="34"/>
  <c r="L6" i="34"/>
  <c r="L5" i="34"/>
  <c r="L4" i="34"/>
  <c r="W53" i="17"/>
  <c r="U53" i="17"/>
  <c r="T53" i="17"/>
  <c r="W52" i="17"/>
  <c r="U52" i="17"/>
  <c r="T52" i="17"/>
  <c r="W51" i="17"/>
  <c r="U51" i="17"/>
  <c r="T51" i="17"/>
  <c r="W50" i="17"/>
  <c r="U50" i="17"/>
  <c r="T50" i="17"/>
  <c r="W49" i="17"/>
  <c r="U49" i="17"/>
  <c r="T49" i="17"/>
  <c r="W48" i="17"/>
  <c r="U48" i="17"/>
  <c r="T48" i="17"/>
  <c r="W47" i="17"/>
  <c r="U47" i="17"/>
  <c r="T47" i="17"/>
  <c r="W46" i="17"/>
  <c r="U46" i="17"/>
  <c r="T46" i="17"/>
  <c r="W45" i="17"/>
  <c r="U45" i="17"/>
  <c r="T45" i="17"/>
  <c r="W44" i="17"/>
  <c r="U44" i="17"/>
  <c r="T44" i="17"/>
  <c r="W43" i="17"/>
  <c r="U43" i="17"/>
  <c r="T43" i="17"/>
  <c r="W42" i="17"/>
  <c r="U42" i="17"/>
  <c r="T42" i="17"/>
  <c r="W41" i="17"/>
  <c r="U41" i="17"/>
  <c r="T41" i="17"/>
  <c r="W40" i="17"/>
  <c r="U40" i="17"/>
  <c r="T40" i="17"/>
  <c r="W39" i="17"/>
  <c r="U39" i="17"/>
  <c r="T39" i="17"/>
  <c r="W38" i="17"/>
  <c r="U38" i="17"/>
  <c r="T38" i="17"/>
  <c r="W37" i="17"/>
  <c r="U37" i="17"/>
  <c r="T37" i="17"/>
  <c r="W36" i="17"/>
  <c r="U36" i="17"/>
  <c r="T36" i="17"/>
  <c r="W35" i="17"/>
  <c r="U35" i="17"/>
  <c r="T35" i="17"/>
  <c r="W34" i="17"/>
  <c r="U34" i="17"/>
  <c r="T34" i="17"/>
  <c r="W33" i="17"/>
  <c r="U33" i="17"/>
  <c r="T33" i="17"/>
  <c r="W32" i="17"/>
  <c r="U32" i="17"/>
  <c r="T32" i="17"/>
  <c r="W31" i="17"/>
  <c r="U31" i="17"/>
  <c r="T31" i="17"/>
  <c r="W30" i="17"/>
  <c r="U30" i="17"/>
  <c r="T30" i="17"/>
  <c r="W29" i="17"/>
  <c r="U29" i="17"/>
  <c r="T29" i="17"/>
  <c r="W28" i="17"/>
  <c r="U28" i="17"/>
  <c r="T28" i="17"/>
  <c r="W27" i="17"/>
  <c r="U27" i="17"/>
  <c r="T27" i="17"/>
  <c r="W26" i="17"/>
  <c r="U26" i="17"/>
  <c r="T26" i="17"/>
  <c r="W25" i="17"/>
  <c r="U25" i="17"/>
  <c r="T25" i="17"/>
  <c r="W24" i="17"/>
  <c r="U24" i="17"/>
  <c r="T24" i="17"/>
  <c r="W23" i="17"/>
  <c r="U23" i="17"/>
  <c r="T23" i="17"/>
  <c r="W22" i="17"/>
  <c r="U22" i="17"/>
  <c r="T22" i="17"/>
  <c r="W21" i="17"/>
  <c r="U21" i="17"/>
  <c r="T21" i="17"/>
  <c r="W20" i="17"/>
  <c r="U20" i="17"/>
  <c r="T20" i="17"/>
  <c r="W19" i="17"/>
  <c r="U19" i="17"/>
  <c r="T19" i="17"/>
  <c r="W18" i="17"/>
  <c r="U18" i="17"/>
  <c r="T18" i="17"/>
  <c r="W17" i="17"/>
  <c r="U17" i="17"/>
  <c r="T17" i="17"/>
  <c r="W16" i="17"/>
  <c r="U16" i="17"/>
  <c r="T16" i="17"/>
  <c r="W15" i="17"/>
  <c r="U15" i="17"/>
  <c r="T15" i="17"/>
  <c r="W14" i="17"/>
  <c r="U14" i="17"/>
  <c r="T14" i="17"/>
  <c r="W13" i="17"/>
  <c r="U13" i="17"/>
  <c r="T13" i="17"/>
  <c r="W12" i="17"/>
  <c r="U12" i="17"/>
  <c r="T12" i="17"/>
  <c r="W11" i="17"/>
  <c r="U11" i="17"/>
  <c r="T11" i="17"/>
  <c r="W10" i="17"/>
  <c r="U10" i="17"/>
  <c r="T10" i="17"/>
  <c r="W9" i="17"/>
  <c r="U9" i="17"/>
  <c r="T9" i="17"/>
  <c r="W8" i="17"/>
  <c r="U8" i="17"/>
  <c r="T8" i="17"/>
  <c r="W7" i="17"/>
  <c r="U7" i="17"/>
  <c r="T7" i="17"/>
  <c r="W6" i="17"/>
  <c r="U6" i="17"/>
  <c r="T6" i="17"/>
  <c r="W5" i="17"/>
  <c r="U5" i="17"/>
  <c r="T5" i="17"/>
  <c r="W4" i="17"/>
  <c r="U4" i="17"/>
  <c r="T4" i="17"/>
  <c r="AB53" i="15"/>
  <c r="AB52" i="15"/>
  <c r="AB51" i="15"/>
  <c r="AB50" i="15"/>
  <c r="AB49" i="15"/>
  <c r="AB48" i="15"/>
  <c r="AB47" i="15"/>
  <c r="AB46" i="15"/>
  <c r="AB45" i="15"/>
  <c r="AB44" i="15"/>
  <c r="AB43" i="15"/>
  <c r="AB42" i="15"/>
  <c r="AB41" i="15"/>
  <c r="AB40" i="15"/>
  <c r="AB39" i="15"/>
  <c r="AB38" i="15"/>
  <c r="AB37" i="15"/>
  <c r="AB36" i="15"/>
  <c r="AB35" i="15"/>
  <c r="AB34" i="15"/>
  <c r="AB33" i="15"/>
  <c r="AB32" i="15"/>
  <c r="AB31" i="15"/>
  <c r="AB30" i="15"/>
  <c r="AB29" i="15"/>
  <c r="AB28" i="15"/>
  <c r="AB27" i="15"/>
  <c r="AB26" i="15"/>
  <c r="AB25" i="15"/>
  <c r="AB24" i="15"/>
  <c r="AB23" i="15"/>
  <c r="AB22" i="15"/>
  <c r="AB21" i="15"/>
  <c r="AB20" i="15"/>
  <c r="AB19" i="15"/>
  <c r="AB18" i="15"/>
  <c r="AB17" i="15"/>
  <c r="AB16" i="15"/>
  <c r="AB15" i="15"/>
  <c r="AB14" i="15"/>
  <c r="AB13" i="15"/>
  <c r="AB12" i="15"/>
  <c r="AB11" i="15"/>
  <c r="AB10" i="15"/>
  <c r="AB9" i="15"/>
  <c r="AB8" i="15"/>
  <c r="AB7" i="15"/>
  <c r="AB6" i="15"/>
  <c r="AB5" i="15"/>
  <c r="V5" i="15"/>
  <c r="J53" i="29"/>
  <c r="J52" i="29"/>
  <c r="J51" i="29"/>
  <c r="J50" i="29"/>
  <c r="J49" i="29"/>
  <c r="J48" i="29"/>
  <c r="J47" i="29"/>
  <c r="J46" i="29"/>
  <c r="J45" i="29"/>
  <c r="J44" i="29"/>
  <c r="J43" i="29"/>
  <c r="J42" i="29"/>
  <c r="J41" i="29"/>
  <c r="J40" i="29"/>
  <c r="J39" i="29"/>
  <c r="J38" i="29"/>
  <c r="J37" i="29"/>
  <c r="J36" i="29"/>
  <c r="J35" i="29"/>
  <c r="J34" i="29"/>
  <c r="J33" i="29"/>
  <c r="J32" i="29"/>
  <c r="J31" i="29"/>
  <c r="J30" i="29"/>
  <c r="J29" i="29"/>
  <c r="J28" i="29"/>
  <c r="J27" i="29"/>
  <c r="J26" i="29"/>
  <c r="J25" i="29"/>
  <c r="J24" i="29"/>
  <c r="J23" i="29"/>
  <c r="J22" i="29"/>
  <c r="J21" i="29"/>
  <c r="J20" i="29"/>
  <c r="J19" i="29"/>
  <c r="J18" i="29"/>
  <c r="J17" i="29"/>
  <c r="J16" i="29"/>
  <c r="J15" i="29"/>
  <c r="J14" i="29"/>
  <c r="J13" i="29"/>
  <c r="J12" i="29"/>
  <c r="J11" i="29"/>
  <c r="J10" i="29"/>
  <c r="J9" i="29"/>
  <c r="J8" i="29"/>
  <c r="J7" i="29"/>
  <c r="J6" i="29"/>
  <c r="J5" i="29"/>
  <c r="J4" i="29"/>
  <c r="I53" i="29"/>
  <c r="I52" i="29"/>
  <c r="I51" i="29"/>
  <c r="I50" i="29"/>
  <c r="I49" i="29"/>
  <c r="I48" i="29"/>
  <c r="I47" i="29"/>
  <c r="I46" i="29"/>
  <c r="I45" i="29"/>
  <c r="I44" i="29"/>
  <c r="I43" i="29"/>
  <c r="I42" i="29"/>
  <c r="I41" i="29"/>
  <c r="I40" i="29"/>
  <c r="I39" i="29"/>
  <c r="I38" i="29"/>
  <c r="I37" i="29"/>
  <c r="I36" i="29"/>
  <c r="I35" i="29"/>
  <c r="I34" i="29"/>
  <c r="I33" i="29"/>
  <c r="I32" i="29"/>
  <c r="I31" i="29"/>
  <c r="I30" i="29"/>
  <c r="I29" i="29"/>
  <c r="I28" i="29"/>
  <c r="I27" i="29"/>
  <c r="I26" i="29"/>
  <c r="I25" i="29"/>
  <c r="I24" i="29"/>
  <c r="I23" i="29"/>
  <c r="I22" i="29"/>
  <c r="I21" i="29"/>
  <c r="I20" i="29"/>
  <c r="I19" i="29"/>
  <c r="I18" i="29"/>
  <c r="I17" i="29"/>
  <c r="I16" i="29"/>
  <c r="I15" i="29"/>
  <c r="I14" i="29"/>
  <c r="I13" i="29"/>
  <c r="I12" i="29"/>
  <c r="I11" i="29"/>
  <c r="I10" i="29"/>
  <c r="I9" i="29"/>
  <c r="I8" i="29"/>
  <c r="I7" i="29"/>
  <c r="I6" i="29"/>
  <c r="I5" i="29"/>
  <c r="I4" i="29"/>
  <c r="F53" i="29"/>
  <c r="F52" i="29"/>
  <c r="F51" i="29"/>
  <c r="F50" i="29"/>
  <c r="F49" i="29"/>
  <c r="F48" i="29"/>
  <c r="F47" i="29"/>
  <c r="F46" i="29"/>
  <c r="F45" i="29"/>
  <c r="F44" i="29"/>
  <c r="F43" i="29"/>
  <c r="F42" i="29"/>
  <c r="F41" i="29"/>
  <c r="F40" i="29"/>
  <c r="F39" i="29"/>
  <c r="F38" i="29"/>
  <c r="F37" i="29"/>
  <c r="F36" i="29"/>
  <c r="F35" i="29"/>
  <c r="F34" i="29"/>
  <c r="F33" i="29"/>
  <c r="F32" i="29"/>
  <c r="F31" i="29"/>
  <c r="F30" i="29"/>
  <c r="F29" i="29"/>
  <c r="F28" i="29"/>
  <c r="F27" i="29"/>
  <c r="F26" i="29"/>
  <c r="F25" i="29"/>
  <c r="F24" i="29"/>
  <c r="F23" i="29"/>
  <c r="F22" i="29"/>
  <c r="F21" i="29"/>
  <c r="F20" i="29"/>
  <c r="F19" i="29"/>
  <c r="F18" i="29"/>
  <c r="F17" i="29"/>
  <c r="F16" i="29"/>
  <c r="F15" i="29"/>
  <c r="F14" i="29"/>
  <c r="F13" i="29"/>
  <c r="F12" i="29"/>
  <c r="F11" i="29"/>
  <c r="F10" i="29"/>
  <c r="F9" i="29"/>
  <c r="F8" i="29"/>
  <c r="F7" i="29"/>
  <c r="F6" i="29"/>
  <c r="F5" i="29"/>
  <c r="F4" i="29"/>
  <c r="G53" i="29"/>
  <c r="H53" i="29"/>
  <c r="G52" i="29"/>
  <c r="H52" i="29"/>
  <c r="G51" i="29"/>
  <c r="H51" i="29"/>
  <c r="G50" i="29"/>
  <c r="H50" i="29"/>
  <c r="G49" i="29"/>
  <c r="H49" i="29"/>
  <c r="G48" i="29"/>
  <c r="H48" i="29"/>
  <c r="G47" i="29"/>
  <c r="H47" i="29"/>
  <c r="G46" i="29"/>
  <c r="H46" i="29"/>
  <c r="G45" i="29"/>
  <c r="H45" i="29"/>
  <c r="G44" i="29"/>
  <c r="H44" i="29"/>
  <c r="G43" i="29"/>
  <c r="H43" i="29"/>
  <c r="G42" i="29"/>
  <c r="H42" i="29"/>
  <c r="G41" i="29"/>
  <c r="H41" i="29"/>
  <c r="G40" i="29"/>
  <c r="H40" i="29"/>
  <c r="G39" i="29"/>
  <c r="H39" i="29"/>
  <c r="G38" i="29"/>
  <c r="H38" i="29"/>
  <c r="G37" i="29"/>
  <c r="H37" i="29"/>
  <c r="G36" i="29"/>
  <c r="H36" i="29"/>
  <c r="G35" i="29"/>
  <c r="H35" i="29"/>
  <c r="G34" i="29"/>
  <c r="H34" i="29"/>
  <c r="G33" i="29"/>
  <c r="H33" i="29"/>
  <c r="G32" i="29"/>
  <c r="H32" i="29"/>
  <c r="G31" i="29"/>
  <c r="H31" i="29"/>
  <c r="G30" i="29"/>
  <c r="H30" i="29"/>
  <c r="G29" i="29"/>
  <c r="H29" i="29"/>
  <c r="G28" i="29"/>
  <c r="H28" i="29"/>
  <c r="G27" i="29"/>
  <c r="H27" i="29"/>
  <c r="G26" i="29"/>
  <c r="H26" i="29"/>
  <c r="G25" i="29"/>
  <c r="H25" i="29"/>
  <c r="G24" i="29"/>
  <c r="H24" i="29"/>
  <c r="G23" i="29"/>
  <c r="H23" i="29"/>
  <c r="G22" i="29"/>
  <c r="H22" i="29"/>
  <c r="G21" i="29"/>
  <c r="H21" i="29"/>
  <c r="G20" i="29"/>
  <c r="H20" i="29"/>
  <c r="G19" i="29"/>
  <c r="H19" i="29"/>
  <c r="G18" i="29"/>
  <c r="H18" i="29"/>
  <c r="G17" i="29"/>
  <c r="H17" i="29"/>
  <c r="G16" i="29"/>
  <c r="H16" i="29"/>
  <c r="G15" i="29"/>
  <c r="H15" i="29"/>
  <c r="G14" i="29"/>
  <c r="H14" i="29"/>
  <c r="G13" i="29"/>
  <c r="H13" i="29"/>
  <c r="G12" i="29"/>
  <c r="H12" i="29"/>
  <c r="G11" i="29"/>
  <c r="H11" i="29"/>
  <c r="G10" i="29"/>
  <c r="H10" i="29"/>
  <c r="G9" i="29"/>
  <c r="H9" i="29"/>
  <c r="G8" i="29"/>
  <c r="H8" i="29"/>
  <c r="G7" i="29"/>
  <c r="H7" i="29"/>
  <c r="G6" i="29"/>
  <c r="H6" i="29"/>
  <c r="G5" i="29"/>
  <c r="H5" i="29"/>
  <c r="G4" i="29"/>
  <c r="H4" i="29"/>
  <c r="T52" i="35"/>
  <c r="T51" i="35"/>
  <c r="T50" i="35"/>
  <c r="T49" i="35"/>
  <c r="T48" i="35"/>
  <c r="T47" i="35"/>
  <c r="T46" i="35"/>
  <c r="T44" i="35"/>
  <c r="T43" i="35"/>
  <c r="T42" i="35"/>
  <c r="T41" i="35"/>
  <c r="T40" i="35"/>
  <c r="T39" i="35"/>
  <c r="T38" i="35"/>
  <c r="T36" i="35"/>
  <c r="T35" i="35"/>
  <c r="T34" i="35"/>
  <c r="T33" i="35"/>
  <c r="T32" i="35"/>
  <c r="T31" i="35"/>
  <c r="T30" i="35"/>
  <c r="T28" i="35"/>
  <c r="T27" i="35"/>
  <c r="T26" i="35"/>
  <c r="T25" i="35"/>
  <c r="T24" i="35"/>
  <c r="T23" i="35"/>
  <c r="T22" i="35"/>
  <c r="T20" i="35"/>
  <c r="T18" i="35"/>
  <c r="T17" i="35"/>
  <c r="T16" i="35"/>
  <c r="T14" i="35"/>
  <c r="T12" i="35"/>
  <c r="T11" i="35"/>
  <c r="T10" i="35"/>
  <c r="T9" i="35"/>
  <c r="T8" i="35"/>
  <c r="T7" i="35"/>
  <c r="T6" i="35"/>
  <c r="T5" i="35"/>
  <c r="T4" i="35"/>
  <c r="S55" i="35"/>
  <c r="R55" i="35"/>
  <c r="P55" i="35"/>
  <c r="O55" i="35"/>
  <c r="N55" i="35"/>
  <c r="M55" i="35"/>
  <c r="L55" i="35"/>
  <c r="K55" i="35"/>
  <c r="J55" i="35"/>
  <c r="H55" i="35"/>
  <c r="G55" i="35"/>
  <c r="F55" i="35"/>
  <c r="E55" i="35"/>
  <c r="D55" i="35"/>
  <c r="C55" i="35"/>
  <c r="B55" i="35"/>
  <c r="I55" i="35"/>
  <c r="E53" i="3"/>
  <c r="G53" i="3"/>
  <c r="I53" i="3"/>
  <c r="D53" i="34"/>
  <c r="E52" i="3"/>
  <c r="G52" i="3"/>
  <c r="I52" i="3"/>
  <c r="D52" i="34"/>
  <c r="E51" i="3"/>
  <c r="G51" i="3"/>
  <c r="I51" i="3"/>
  <c r="D51" i="34"/>
  <c r="E50" i="3"/>
  <c r="G50" i="3"/>
  <c r="I50" i="3"/>
  <c r="D50" i="34"/>
  <c r="E49" i="3"/>
  <c r="G49" i="3"/>
  <c r="I49" i="3"/>
  <c r="D49" i="34"/>
  <c r="E48" i="3"/>
  <c r="G48" i="3"/>
  <c r="I48" i="3"/>
  <c r="D48" i="34"/>
  <c r="E47" i="3"/>
  <c r="G47" i="3"/>
  <c r="I47" i="3"/>
  <c r="D47" i="34"/>
  <c r="E46" i="3"/>
  <c r="G46" i="3"/>
  <c r="I46" i="3"/>
  <c r="D46" i="34"/>
  <c r="E45" i="3"/>
  <c r="G45" i="3"/>
  <c r="I45" i="3"/>
  <c r="D45" i="34"/>
  <c r="E44" i="3"/>
  <c r="G44" i="3"/>
  <c r="I44" i="3"/>
  <c r="D44" i="34"/>
  <c r="E43" i="3"/>
  <c r="G43" i="3"/>
  <c r="I43" i="3"/>
  <c r="D43" i="34"/>
  <c r="E42" i="3"/>
  <c r="G42" i="3"/>
  <c r="I42" i="3"/>
  <c r="D42" i="34"/>
  <c r="E41" i="3"/>
  <c r="G41" i="3"/>
  <c r="I41" i="3"/>
  <c r="D41" i="34"/>
  <c r="E40" i="3"/>
  <c r="G40" i="3"/>
  <c r="I40" i="3"/>
  <c r="D40" i="34"/>
  <c r="E39" i="3"/>
  <c r="G39" i="3"/>
  <c r="I39" i="3"/>
  <c r="D39" i="34"/>
  <c r="E38" i="3"/>
  <c r="G38" i="3"/>
  <c r="I38" i="3"/>
  <c r="D38" i="34"/>
  <c r="E37" i="3"/>
  <c r="G37" i="3"/>
  <c r="I37" i="3"/>
  <c r="D37" i="34"/>
  <c r="E36" i="3"/>
  <c r="G36" i="3"/>
  <c r="I36" i="3"/>
  <c r="D36" i="34"/>
  <c r="E35" i="3"/>
  <c r="G35" i="3"/>
  <c r="I35" i="3"/>
  <c r="D35" i="34"/>
  <c r="E34" i="3"/>
  <c r="G34" i="3"/>
  <c r="I34" i="3"/>
  <c r="D34" i="34"/>
  <c r="E33" i="3"/>
  <c r="G33" i="3"/>
  <c r="I33" i="3"/>
  <c r="D33" i="34"/>
  <c r="E32" i="3"/>
  <c r="G32" i="3"/>
  <c r="I32" i="3"/>
  <c r="D32" i="34"/>
  <c r="E31" i="3"/>
  <c r="G31" i="3"/>
  <c r="I31" i="3"/>
  <c r="D31" i="34"/>
  <c r="E30" i="3"/>
  <c r="G30" i="3"/>
  <c r="I30" i="3"/>
  <c r="D30" i="34"/>
  <c r="E29" i="3"/>
  <c r="G29" i="3"/>
  <c r="I29" i="3"/>
  <c r="D29" i="34"/>
  <c r="E28" i="3"/>
  <c r="G28" i="3"/>
  <c r="I28" i="3"/>
  <c r="D28" i="34"/>
  <c r="E27" i="3"/>
  <c r="G27" i="3"/>
  <c r="I27" i="3"/>
  <c r="D27" i="34"/>
  <c r="E26" i="3"/>
  <c r="G26" i="3"/>
  <c r="I26" i="3"/>
  <c r="D26" i="34"/>
  <c r="E25" i="3"/>
  <c r="G25" i="3"/>
  <c r="I25" i="3"/>
  <c r="D25" i="34"/>
  <c r="E24" i="3"/>
  <c r="G24" i="3"/>
  <c r="I24" i="3"/>
  <c r="D24" i="34"/>
  <c r="E23" i="3"/>
  <c r="G23" i="3"/>
  <c r="I23" i="3"/>
  <c r="D23" i="34"/>
  <c r="E22" i="3"/>
  <c r="G22" i="3"/>
  <c r="I22" i="3"/>
  <c r="D22" i="34"/>
  <c r="E21" i="3"/>
  <c r="G21" i="3"/>
  <c r="I21" i="3"/>
  <c r="D21" i="34"/>
  <c r="E20" i="3"/>
  <c r="G20" i="3"/>
  <c r="I20" i="3"/>
  <c r="D20" i="34"/>
  <c r="E19" i="3"/>
  <c r="G19" i="3"/>
  <c r="I19" i="3"/>
  <c r="D19" i="34"/>
  <c r="E18" i="3"/>
  <c r="G18" i="3"/>
  <c r="I18" i="3"/>
  <c r="D18" i="34"/>
  <c r="E17" i="3"/>
  <c r="G17" i="3"/>
  <c r="I17" i="3"/>
  <c r="D17" i="34"/>
  <c r="E16" i="3"/>
  <c r="G16" i="3"/>
  <c r="I16" i="3"/>
  <c r="D16" i="34"/>
  <c r="E15" i="3"/>
  <c r="G15" i="3"/>
  <c r="I15" i="3"/>
  <c r="D15" i="34"/>
  <c r="E14" i="3"/>
  <c r="G14" i="3"/>
  <c r="I14" i="3"/>
  <c r="D14" i="34"/>
  <c r="E13" i="3"/>
  <c r="G13" i="3"/>
  <c r="I13" i="3"/>
  <c r="D13" i="34"/>
  <c r="E12" i="3"/>
  <c r="G12" i="3"/>
  <c r="I12" i="3"/>
  <c r="D12" i="34"/>
  <c r="E11" i="3"/>
  <c r="G11" i="3"/>
  <c r="I11" i="3"/>
  <c r="D11" i="34"/>
  <c r="E10" i="3"/>
  <c r="G10" i="3"/>
  <c r="I10" i="3"/>
  <c r="D10" i="34"/>
  <c r="E9" i="3"/>
  <c r="G9" i="3"/>
  <c r="I9" i="3"/>
  <c r="D9" i="34"/>
  <c r="E8" i="3"/>
  <c r="G8" i="3"/>
  <c r="I8" i="3"/>
  <c r="D8" i="34"/>
  <c r="E7" i="3"/>
  <c r="G7" i="3"/>
  <c r="I7" i="3"/>
  <c r="D7" i="34"/>
  <c r="E6" i="3"/>
  <c r="G6" i="3"/>
  <c r="I6" i="3"/>
  <c r="D6" i="34"/>
  <c r="E5" i="3"/>
  <c r="G5" i="3"/>
  <c r="I5" i="3"/>
  <c r="D5" i="34"/>
  <c r="E4" i="3"/>
  <c r="G4" i="3"/>
  <c r="I4" i="3"/>
  <c r="D4" i="34"/>
  <c r="K53" i="3"/>
  <c r="D53" i="22"/>
  <c r="K52" i="3"/>
  <c r="D52" i="22"/>
  <c r="K51" i="3"/>
  <c r="D51" i="22"/>
  <c r="K50" i="3"/>
  <c r="D50" i="22"/>
  <c r="K49" i="3"/>
  <c r="D49" i="22"/>
  <c r="K48" i="3"/>
  <c r="D48" i="22"/>
  <c r="K47" i="3"/>
  <c r="D47" i="22"/>
  <c r="K46" i="3"/>
  <c r="D46" i="22"/>
  <c r="K45" i="3"/>
  <c r="D45" i="22"/>
  <c r="K44" i="3"/>
  <c r="D44" i="22"/>
  <c r="K43" i="3"/>
  <c r="D43" i="22"/>
  <c r="K42" i="3"/>
  <c r="D42" i="22"/>
  <c r="K41" i="3"/>
  <c r="D41" i="22"/>
  <c r="K40" i="3"/>
  <c r="D40" i="22"/>
  <c r="K39" i="3"/>
  <c r="D39" i="22"/>
  <c r="K38" i="3"/>
  <c r="D38" i="22"/>
  <c r="K37" i="3"/>
  <c r="D37" i="22"/>
  <c r="K36" i="3"/>
  <c r="D36" i="22"/>
  <c r="K35" i="3"/>
  <c r="D35" i="22"/>
  <c r="K34" i="3"/>
  <c r="D34" i="22"/>
  <c r="K33" i="3"/>
  <c r="D33" i="22"/>
  <c r="K32" i="3"/>
  <c r="D32" i="22"/>
  <c r="K31" i="3"/>
  <c r="D31" i="22"/>
  <c r="K30" i="3"/>
  <c r="D30" i="22"/>
  <c r="K29" i="3"/>
  <c r="D29" i="22"/>
  <c r="K28" i="3"/>
  <c r="D28" i="22"/>
  <c r="K27" i="3"/>
  <c r="D27" i="22"/>
  <c r="K26" i="3"/>
  <c r="D26" i="22"/>
  <c r="K25" i="3"/>
  <c r="D25" i="22"/>
  <c r="K24" i="3"/>
  <c r="D24" i="22"/>
  <c r="K23" i="3"/>
  <c r="D23" i="22"/>
  <c r="K22" i="3"/>
  <c r="D22" i="22"/>
  <c r="K21" i="3"/>
  <c r="D21" i="22"/>
  <c r="K20" i="3"/>
  <c r="D20" i="22"/>
  <c r="K19" i="3"/>
  <c r="D19" i="22"/>
  <c r="K18" i="3"/>
  <c r="D18" i="22"/>
  <c r="K17" i="3"/>
  <c r="D17" i="22"/>
  <c r="K16" i="3"/>
  <c r="D16" i="22"/>
  <c r="K15" i="3"/>
  <c r="D15" i="22"/>
  <c r="K14" i="3"/>
  <c r="D14" i="22"/>
  <c r="K13" i="3"/>
  <c r="D13" i="22"/>
  <c r="K12" i="3"/>
  <c r="D12" i="22"/>
  <c r="K11" i="3"/>
  <c r="D11" i="22"/>
  <c r="K10" i="3"/>
  <c r="D10" i="22"/>
  <c r="K9" i="3"/>
  <c r="D9" i="22"/>
  <c r="K8" i="3"/>
  <c r="D8" i="22"/>
  <c r="K7" i="3"/>
  <c r="D7" i="22"/>
  <c r="K6" i="3"/>
  <c r="D6" i="22"/>
  <c r="K5" i="3"/>
  <c r="D5" i="22"/>
  <c r="D55" i="22"/>
  <c r="K4" i="3"/>
  <c r="D4" i="22"/>
  <c r="J53" i="3"/>
  <c r="D53" i="21"/>
  <c r="J52" i="3"/>
  <c r="D52" i="21"/>
  <c r="J51" i="3"/>
  <c r="D51" i="21"/>
  <c r="J50" i="3"/>
  <c r="D50" i="21"/>
  <c r="J49" i="3"/>
  <c r="D49" i="21"/>
  <c r="J48" i="3"/>
  <c r="D48" i="21"/>
  <c r="J47" i="3"/>
  <c r="D47" i="21"/>
  <c r="J46" i="3"/>
  <c r="D46" i="21"/>
  <c r="J45" i="3"/>
  <c r="D45" i="21"/>
  <c r="J44" i="3"/>
  <c r="D44" i="21"/>
  <c r="J43" i="3"/>
  <c r="D43" i="21"/>
  <c r="J42" i="3"/>
  <c r="D42" i="21"/>
  <c r="J41" i="3"/>
  <c r="D41" i="21"/>
  <c r="J40" i="3"/>
  <c r="D40" i="21"/>
  <c r="J39" i="3"/>
  <c r="D39" i="21"/>
  <c r="J38" i="3"/>
  <c r="D38" i="21"/>
  <c r="J37" i="3"/>
  <c r="D37" i="21"/>
  <c r="J36" i="3"/>
  <c r="D36" i="21"/>
  <c r="J35" i="3"/>
  <c r="D35" i="21"/>
  <c r="J34" i="3"/>
  <c r="D34" i="21"/>
  <c r="J33" i="3"/>
  <c r="D33" i="21"/>
  <c r="J32" i="3"/>
  <c r="D32" i="21"/>
  <c r="J31" i="3"/>
  <c r="D31" i="21"/>
  <c r="J30" i="3"/>
  <c r="D30" i="21"/>
  <c r="J29" i="3"/>
  <c r="D29" i="21"/>
  <c r="J28" i="3"/>
  <c r="D28" i="21"/>
  <c r="J27" i="3"/>
  <c r="D27" i="21"/>
  <c r="J26" i="3"/>
  <c r="D26" i="21"/>
  <c r="J25" i="3"/>
  <c r="D25" i="21"/>
  <c r="J24" i="3"/>
  <c r="D24" i="21"/>
  <c r="J23" i="3"/>
  <c r="D23" i="21"/>
  <c r="J22" i="3"/>
  <c r="D22" i="21"/>
  <c r="J21" i="3"/>
  <c r="D21" i="21"/>
  <c r="J20" i="3"/>
  <c r="D20" i="21"/>
  <c r="J19" i="3"/>
  <c r="D19" i="21"/>
  <c r="J18" i="3"/>
  <c r="D18" i="21"/>
  <c r="J17" i="3"/>
  <c r="D17" i="21"/>
  <c r="J16" i="3"/>
  <c r="D16" i="21"/>
  <c r="J15" i="3"/>
  <c r="D15" i="21"/>
  <c r="J14" i="3"/>
  <c r="D14" i="21"/>
  <c r="J13" i="3"/>
  <c r="D13" i="21"/>
  <c r="J12" i="3"/>
  <c r="D12" i="21"/>
  <c r="J11" i="3"/>
  <c r="D11" i="21"/>
  <c r="J10" i="3"/>
  <c r="D10" i="21"/>
  <c r="J9" i="3"/>
  <c r="D9" i="21"/>
  <c r="J8" i="3"/>
  <c r="D8" i="21"/>
  <c r="J7" i="3"/>
  <c r="D7" i="21"/>
  <c r="J6" i="3"/>
  <c r="D6" i="21"/>
  <c r="J5" i="3"/>
  <c r="D5" i="21"/>
  <c r="D55" i="21"/>
  <c r="J4" i="3"/>
  <c r="D4" i="21"/>
  <c r="C53" i="21"/>
  <c r="C52" i="21"/>
  <c r="C51" i="21"/>
  <c r="C50" i="21"/>
  <c r="C49" i="21"/>
  <c r="C48" i="21"/>
  <c r="C47" i="21"/>
  <c r="C46" i="21"/>
  <c r="C45" i="21"/>
  <c r="C44" i="21"/>
  <c r="C43" i="21"/>
  <c r="C42" i="21"/>
  <c r="C41" i="21"/>
  <c r="C40" i="21"/>
  <c r="C39" i="21"/>
  <c r="C38" i="21"/>
  <c r="C37" i="21"/>
  <c r="C36" i="21"/>
  <c r="C35" i="21"/>
  <c r="C34" i="21"/>
  <c r="C33" i="21"/>
  <c r="C32" i="21"/>
  <c r="C31" i="21"/>
  <c r="C30" i="21"/>
  <c r="C29" i="21"/>
  <c r="C28" i="21"/>
  <c r="C27" i="21"/>
  <c r="C26" i="21"/>
  <c r="C25" i="21"/>
  <c r="C24" i="21"/>
  <c r="C23" i="21"/>
  <c r="C22" i="21"/>
  <c r="C21" i="21"/>
  <c r="C20" i="21"/>
  <c r="C19" i="21"/>
  <c r="C18" i="21"/>
  <c r="C17" i="21"/>
  <c r="C16" i="21"/>
  <c r="C15" i="21"/>
  <c r="C14" i="21"/>
  <c r="C13" i="21"/>
  <c r="C12" i="21"/>
  <c r="C11" i="21"/>
  <c r="C10" i="21"/>
  <c r="C9" i="21"/>
  <c r="C8" i="21"/>
  <c r="C7" i="21"/>
  <c r="C6" i="21"/>
  <c r="C5" i="21"/>
  <c r="C4" i="21"/>
  <c r="E4" i="1"/>
  <c r="G4" i="1"/>
  <c r="B4" i="25"/>
  <c r="S4" i="25"/>
  <c r="E5" i="1"/>
  <c r="G5" i="1"/>
  <c r="B5" i="25"/>
  <c r="S5" i="25"/>
  <c r="P5" i="25"/>
  <c r="E6" i="1"/>
  <c r="G6" i="1"/>
  <c r="B6" i="25"/>
  <c r="S6" i="25"/>
  <c r="P6" i="25"/>
  <c r="E7" i="1"/>
  <c r="G7" i="1"/>
  <c r="B7" i="25"/>
  <c r="S7" i="25"/>
  <c r="P7" i="25"/>
  <c r="E8" i="1"/>
  <c r="G8" i="1"/>
  <c r="B8" i="25"/>
  <c r="S8" i="25"/>
  <c r="P8" i="25"/>
  <c r="E9" i="1"/>
  <c r="G9" i="1"/>
  <c r="B9" i="25"/>
  <c r="S9" i="25"/>
  <c r="P9" i="25"/>
  <c r="E10" i="1"/>
  <c r="G10" i="1"/>
  <c r="B10" i="25"/>
  <c r="S10" i="25"/>
  <c r="P10" i="25"/>
  <c r="E11" i="1"/>
  <c r="G11" i="1"/>
  <c r="B11" i="25"/>
  <c r="S11" i="25"/>
  <c r="P11" i="25"/>
  <c r="E12" i="1"/>
  <c r="G12" i="1"/>
  <c r="B12" i="25"/>
  <c r="S12" i="25"/>
  <c r="P12" i="25"/>
  <c r="E13" i="1"/>
  <c r="G13" i="1"/>
  <c r="B13" i="25"/>
  <c r="S13" i="25"/>
  <c r="P13" i="25"/>
  <c r="E14" i="1"/>
  <c r="G14" i="1"/>
  <c r="B14" i="25"/>
  <c r="S14" i="25"/>
  <c r="P14" i="25"/>
  <c r="E15" i="1"/>
  <c r="G15" i="1"/>
  <c r="B15" i="25"/>
  <c r="S15" i="25"/>
  <c r="P15" i="25"/>
  <c r="E16" i="1"/>
  <c r="G16" i="1"/>
  <c r="B16" i="25"/>
  <c r="S16" i="25"/>
  <c r="P16" i="25"/>
  <c r="E17" i="1"/>
  <c r="G17" i="1"/>
  <c r="B17" i="25"/>
  <c r="S17" i="25"/>
  <c r="P17" i="25"/>
  <c r="E18" i="1"/>
  <c r="G18" i="1"/>
  <c r="B18" i="25"/>
  <c r="S18" i="25"/>
  <c r="P18" i="25"/>
  <c r="E19" i="1"/>
  <c r="G19" i="1"/>
  <c r="B19" i="25"/>
  <c r="S19" i="25"/>
  <c r="P19" i="25"/>
  <c r="E20" i="1"/>
  <c r="G20" i="1"/>
  <c r="B20" i="25"/>
  <c r="S20" i="25"/>
  <c r="P20" i="25"/>
  <c r="E21" i="1"/>
  <c r="G21" i="1"/>
  <c r="B21" i="25"/>
  <c r="S21" i="25"/>
  <c r="P21" i="25"/>
  <c r="E22" i="1"/>
  <c r="G22" i="1"/>
  <c r="B22" i="25"/>
  <c r="S22" i="25"/>
  <c r="P22" i="25"/>
  <c r="E23" i="1"/>
  <c r="G23" i="1"/>
  <c r="B23" i="25"/>
  <c r="S23" i="25"/>
  <c r="P23" i="25"/>
  <c r="E24" i="1"/>
  <c r="G24" i="1"/>
  <c r="B24" i="25"/>
  <c r="S24" i="25"/>
  <c r="P24" i="25"/>
  <c r="E25" i="1"/>
  <c r="G25" i="1"/>
  <c r="B25" i="25"/>
  <c r="S25" i="25"/>
  <c r="P25" i="25"/>
  <c r="E26" i="1"/>
  <c r="G26" i="1"/>
  <c r="B26" i="25"/>
  <c r="S26" i="25"/>
  <c r="P26" i="25"/>
  <c r="E27" i="1"/>
  <c r="G27" i="1"/>
  <c r="B27" i="25"/>
  <c r="S27" i="25"/>
  <c r="P27" i="25"/>
  <c r="E28" i="1"/>
  <c r="G28" i="1"/>
  <c r="B28" i="25"/>
  <c r="S28" i="25"/>
  <c r="P28" i="25"/>
  <c r="E29" i="1"/>
  <c r="G29" i="1"/>
  <c r="B29" i="25"/>
  <c r="S29" i="25"/>
  <c r="P29" i="25"/>
  <c r="E30" i="1"/>
  <c r="G30" i="1"/>
  <c r="B30" i="25"/>
  <c r="S30" i="25"/>
  <c r="P30" i="25"/>
  <c r="E31" i="1"/>
  <c r="G31" i="1"/>
  <c r="B31" i="25"/>
  <c r="S31" i="25"/>
  <c r="P31" i="25"/>
  <c r="E32" i="1"/>
  <c r="G32" i="1"/>
  <c r="B32" i="25"/>
  <c r="S32" i="25"/>
  <c r="P32" i="25"/>
  <c r="E33" i="1"/>
  <c r="G33" i="1"/>
  <c r="B33" i="25"/>
  <c r="S33" i="25"/>
  <c r="P33" i="25"/>
  <c r="E34" i="1"/>
  <c r="G34" i="1"/>
  <c r="B34" i="25"/>
  <c r="S34" i="25"/>
  <c r="P34" i="25"/>
  <c r="E35" i="1"/>
  <c r="G35" i="1"/>
  <c r="B35" i="25"/>
  <c r="S35" i="25"/>
  <c r="P35" i="25"/>
  <c r="E36" i="1"/>
  <c r="G36" i="1"/>
  <c r="B36" i="25"/>
  <c r="S36" i="25"/>
  <c r="P36" i="25"/>
  <c r="E37" i="1"/>
  <c r="G37" i="1"/>
  <c r="B37" i="25"/>
  <c r="S37" i="25"/>
  <c r="P37" i="25"/>
  <c r="E38" i="1"/>
  <c r="G38" i="1"/>
  <c r="B38" i="25"/>
  <c r="S38" i="25"/>
  <c r="P38" i="25"/>
  <c r="E39" i="1"/>
  <c r="G39" i="1"/>
  <c r="B39" i="25"/>
  <c r="S39" i="25"/>
  <c r="P39" i="25"/>
  <c r="E40" i="1"/>
  <c r="G40" i="1"/>
  <c r="B40" i="25"/>
  <c r="S40" i="25"/>
  <c r="P40" i="25"/>
  <c r="E41" i="1"/>
  <c r="G41" i="1"/>
  <c r="B41" i="25"/>
  <c r="S41" i="25"/>
  <c r="P41" i="25"/>
  <c r="E42" i="1"/>
  <c r="G42" i="1"/>
  <c r="B42" i="25"/>
  <c r="S42" i="25"/>
  <c r="P42" i="25"/>
  <c r="E43" i="1"/>
  <c r="G43" i="1"/>
  <c r="B43" i="25"/>
  <c r="S43" i="25"/>
  <c r="P43" i="25"/>
  <c r="E44" i="1"/>
  <c r="G44" i="1"/>
  <c r="B44" i="25"/>
  <c r="S44" i="25"/>
  <c r="P44" i="25"/>
  <c r="E45" i="1"/>
  <c r="G45" i="1"/>
  <c r="B45" i="25"/>
  <c r="S45" i="25"/>
  <c r="P45" i="25"/>
  <c r="E46" i="1"/>
  <c r="G46" i="1"/>
  <c r="B46" i="25"/>
  <c r="S46" i="25"/>
  <c r="P46" i="25"/>
  <c r="E47" i="1"/>
  <c r="G47" i="1"/>
  <c r="B47" i="25"/>
  <c r="S47" i="25"/>
  <c r="P47" i="25"/>
  <c r="E48" i="1"/>
  <c r="G48" i="1"/>
  <c r="B48" i="25"/>
  <c r="S48" i="25"/>
  <c r="P48" i="25"/>
  <c r="E49" i="1"/>
  <c r="G49" i="1"/>
  <c r="B49" i="25"/>
  <c r="S49" i="25"/>
  <c r="P49" i="25"/>
  <c r="E50" i="1"/>
  <c r="G50" i="1"/>
  <c r="B50" i="25"/>
  <c r="S50" i="25"/>
  <c r="P50" i="25"/>
  <c r="E51" i="1"/>
  <c r="G51" i="1"/>
  <c r="B51" i="25"/>
  <c r="S51" i="25"/>
  <c r="P51" i="25"/>
  <c r="E52" i="1"/>
  <c r="G52" i="1"/>
  <c r="B52" i="25"/>
  <c r="S52" i="25"/>
  <c r="P52" i="25"/>
  <c r="E53" i="1"/>
  <c r="G53" i="1"/>
  <c r="B53" i="25"/>
  <c r="S53" i="25"/>
  <c r="P53" i="25"/>
  <c r="Q55" i="25"/>
  <c r="K55" i="25"/>
  <c r="D55" i="25"/>
  <c r="C55" i="25"/>
  <c r="B4" i="22"/>
  <c r="S4" i="22"/>
  <c r="B5" i="22"/>
  <c r="S5" i="22"/>
  <c r="B6" i="22"/>
  <c r="S6" i="22"/>
  <c r="B7" i="22"/>
  <c r="S7" i="22"/>
  <c r="B8" i="22"/>
  <c r="S8" i="22"/>
  <c r="B9" i="22"/>
  <c r="S9" i="22"/>
  <c r="B10" i="22"/>
  <c r="S10" i="22"/>
  <c r="B11" i="22"/>
  <c r="S11" i="22"/>
  <c r="B12" i="22"/>
  <c r="S12" i="22"/>
  <c r="B13" i="22"/>
  <c r="S13" i="22"/>
  <c r="B14" i="22"/>
  <c r="S14" i="22"/>
  <c r="B15" i="22"/>
  <c r="S15" i="22"/>
  <c r="B16" i="22"/>
  <c r="S16" i="22"/>
  <c r="B17" i="22"/>
  <c r="S17" i="22"/>
  <c r="B18" i="22"/>
  <c r="S18" i="22"/>
  <c r="B19" i="22"/>
  <c r="S19" i="22"/>
  <c r="B20" i="22"/>
  <c r="S20" i="22"/>
  <c r="B21" i="22"/>
  <c r="S21" i="22"/>
  <c r="B22" i="22"/>
  <c r="S22" i="22"/>
  <c r="B23" i="22"/>
  <c r="S23" i="22"/>
  <c r="B24" i="22"/>
  <c r="S24" i="22"/>
  <c r="B25" i="22"/>
  <c r="S25" i="22"/>
  <c r="B26" i="22"/>
  <c r="S26" i="22"/>
  <c r="B27" i="22"/>
  <c r="S27" i="22"/>
  <c r="B28" i="22"/>
  <c r="S28" i="22"/>
  <c r="B29" i="22"/>
  <c r="S29" i="22"/>
  <c r="B30" i="22"/>
  <c r="S30" i="22"/>
  <c r="B31" i="22"/>
  <c r="S31" i="22"/>
  <c r="B32" i="22"/>
  <c r="S32" i="22"/>
  <c r="B33" i="22"/>
  <c r="S33" i="22"/>
  <c r="B34" i="22"/>
  <c r="S34" i="22"/>
  <c r="B35" i="22"/>
  <c r="S35" i="22"/>
  <c r="B36" i="22"/>
  <c r="S36" i="22"/>
  <c r="B37" i="22"/>
  <c r="S37" i="22"/>
  <c r="B38" i="22"/>
  <c r="S38" i="22"/>
  <c r="B39" i="22"/>
  <c r="S39" i="22"/>
  <c r="B40" i="22"/>
  <c r="S40" i="22"/>
  <c r="B41" i="22"/>
  <c r="S41" i="22"/>
  <c r="B42" i="22"/>
  <c r="S42" i="22"/>
  <c r="B43" i="22"/>
  <c r="S43" i="22"/>
  <c r="B44" i="22"/>
  <c r="S44" i="22"/>
  <c r="B45" i="22"/>
  <c r="S45" i="22"/>
  <c r="B46" i="22"/>
  <c r="S46" i="22"/>
  <c r="B47" i="22"/>
  <c r="S47" i="22"/>
  <c r="B48" i="22"/>
  <c r="S48" i="22"/>
  <c r="B49" i="22"/>
  <c r="S49" i="22"/>
  <c r="B50" i="22"/>
  <c r="S50" i="22"/>
  <c r="B51" i="22"/>
  <c r="S51" i="22"/>
  <c r="B52" i="22"/>
  <c r="S52" i="22"/>
  <c r="B53" i="22"/>
  <c r="S53" i="22"/>
  <c r="R55" i="22"/>
  <c r="Q55" i="22"/>
  <c r="K55" i="22"/>
  <c r="E55" i="22"/>
  <c r="C55" i="22"/>
  <c r="S4" i="21"/>
  <c r="S5" i="21"/>
  <c r="S6" i="21"/>
  <c r="S7" i="21"/>
  <c r="S8" i="21"/>
  <c r="S9" i="21"/>
  <c r="S10" i="21"/>
  <c r="S11" i="21"/>
  <c r="S12" i="21"/>
  <c r="S13" i="21"/>
  <c r="S14" i="21"/>
  <c r="S15" i="21"/>
  <c r="S16" i="21"/>
  <c r="S17" i="21"/>
  <c r="S18" i="21"/>
  <c r="S19" i="21"/>
  <c r="S20" i="21"/>
  <c r="S21" i="21"/>
  <c r="S22" i="21"/>
  <c r="S23" i="21"/>
  <c r="S24" i="21"/>
  <c r="S25" i="21"/>
  <c r="S26" i="21"/>
  <c r="S27" i="21"/>
  <c r="S28" i="21"/>
  <c r="S29" i="21"/>
  <c r="S30" i="21"/>
  <c r="S31" i="21"/>
  <c r="S32" i="21"/>
  <c r="S33" i="21"/>
  <c r="S34" i="21"/>
  <c r="S35" i="21"/>
  <c r="S36" i="21"/>
  <c r="S37" i="21"/>
  <c r="S38" i="21"/>
  <c r="S39" i="21"/>
  <c r="S40" i="21"/>
  <c r="S41" i="21"/>
  <c r="S42" i="21"/>
  <c r="S43" i="21"/>
  <c r="S44" i="21"/>
  <c r="S45" i="21"/>
  <c r="S46" i="21"/>
  <c r="S47" i="21"/>
  <c r="S48" i="21"/>
  <c r="S49" i="21"/>
  <c r="S50" i="21"/>
  <c r="S51" i="21"/>
  <c r="S52" i="21"/>
  <c r="S53" i="21"/>
  <c r="R55" i="21"/>
  <c r="Q55" i="21"/>
  <c r="K55" i="21"/>
  <c r="E55" i="21"/>
  <c r="B55" i="21"/>
  <c r="S4" i="34"/>
  <c r="S55" i="34"/>
  <c r="S5" i="34"/>
  <c r="P5" i="34"/>
  <c r="S6" i="34"/>
  <c r="S7" i="34"/>
  <c r="S8" i="34"/>
  <c r="S9" i="34"/>
  <c r="S10" i="34"/>
  <c r="S11" i="34"/>
  <c r="S12" i="34"/>
  <c r="S13" i="34"/>
  <c r="S14" i="34"/>
  <c r="S15" i="34"/>
  <c r="S16" i="34"/>
  <c r="S17" i="34"/>
  <c r="S18" i="34"/>
  <c r="S19" i="34"/>
  <c r="S20" i="34"/>
  <c r="S21" i="34"/>
  <c r="S22" i="34"/>
  <c r="S23" i="34"/>
  <c r="S24" i="34"/>
  <c r="S25" i="34"/>
  <c r="S26" i="34"/>
  <c r="S27" i="34"/>
  <c r="S28" i="34"/>
  <c r="S29" i="34"/>
  <c r="S30" i="34"/>
  <c r="S31" i="34"/>
  <c r="S32" i="34"/>
  <c r="S33" i="34"/>
  <c r="S34" i="34"/>
  <c r="S35" i="34"/>
  <c r="S36" i="34"/>
  <c r="S37" i="34"/>
  <c r="S38" i="34"/>
  <c r="S39" i="34"/>
  <c r="S40" i="34"/>
  <c r="S41" i="34"/>
  <c r="S42" i="34"/>
  <c r="S43" i="34"/>
  <c r="S44" i="34"/>
  <c r="S45" i="34"/>
  <c r="S46" i="34"/>
  <c r="S47" i="34"/>
  <c r="S48" i="34"/>
  <c r="S49" i="34"/>
  <c r="S50" i="34"/>
  <c r="S51" i="34"/>
  <c r="S52" i="34"/>
  <c r="S53" i="34"/>
  <c r="R55" i="34"/>
  <c r="Q55" i="34"/>
  <c r="K55" i="34"/>
  <c r="N53" i="25"/>
  <c r="N52" i="25"/>
  <c r="N51" i="25"/>
  <c r="N50" i="25"/>
  <c r="N49" i="25"/>
  <c r="N48" i="25"/>
  <c r="N47" i="25"/>
  <c r="N46" i="25"/>
  <c r="N45" i="25"/>
  <c r="N44" i="25"/>
  <c r="N43" i="25"/>
  <c r="N42" i="25"/>
  <c r="N41" i="25"/>
  <c r="N40" i="25"/>
  <c r="N39" i="25"/>
  <c r="N38" i="25"/>
  <c r="N37" i="25"/>
  <c r="N36" i="25"/>
  <c r="N35" i="25"/>
  <c r="N34" i="25"/>
  <c r="N33" i="25"/>
  <c r="N32" i="25"/>
  <c r="N31" i="25"/>
  <c r="N30" i="25"/>
  <c r="N29" i="25"/>
  <c r="N28" i="25"/>
  <c r="N27" i="25"/>
  <c r="N26" i="25"/>
  <c r="N25" i="25"/>
  <c r="N24" i="25"/>
  <c r="N23" i="25"/>
  <c r="N22" i="25"/>
  <c r="N21" i="25"/>
  <c r="N20" i="25"/>
  <c r="N19" i="25"/>
  <c r="N18" i="25"/>
  <c r="N17" i="25"/>
  <c r="N16" i="25"/>
  <c r="N15" i="25"/>
  <c r="N14" i="25"/>
  <c r="N13" i="25"/>
  <c r="N12" i="25"/>
  <c r="N11" i="25"/>
  <c r="N10" i="25"/>
  <c r="N9" i="25"/>
  <c r="N8" i="25"/>
  <c r="N7" i="25"/>
  <c r="N6" i="25"/>
  <c r="N5" i="25"/>
  <c r="N4" i="25"/>
  <c r="N53" i="22"/>
  <c r="N52" i="22"/>
  <c r="N51" i="22"/>
  <c r="N50" i="22"/>
  <c r="N49" i="22"/>
  <c r="N48" i="22"/>
  <c r="N47" i="22"/>
  <c r="N46" i="22"/>
  <c r="N45" i="22"/>
  <c r="N44" i="22"/>
  <c r="N43" i="22"/>
  <c r="N42" i="22"/>
  <c r="N41" i="22"/>
  <c r="N40" i="22"/>
  <c r="N39" i="22"/>
  <c r="N38" i="22"/>
  <c r="N37" i="22"/>
  <c r="N36" i="22"/>
  <c r="N35" i="22"/>
  <c r="N34" i="22"/>
  <c r="N33" i="22"/>
  <c r="N32" i="22"/>
  <c r="N31" i="22"/>
  <c r="N30" i="22"/>
  <c r="N29" i="22"/>
  <c r="N28" i="22"/>
  <c r="N27" i="22"/>
  <c r="N26" i="22"/>
  <c r="N25" i="22"/>
  <c r="N24" i="22"/>
  <c r="N23" i="22"/>
  <c r="N22" i="22"/>
  <c r="N21" i="22"/>
  <c r="N20" i="22"/>
  <c r="N19" i="22"/>
  <c r="N18" i="22"/>
  <c r="N17" i="22"/>
  <c r="N16" i="22"/>
  <c r="N15" i="22"/>
  <c r="N14" i="22"/>
  <c r="N13" i="22"/>
  <c r="N12" i="22"/>
  <c r="N11" i="22"/>
  <c r="N10" i="22"/>
  <c r="N9" i="22"/>
  <c r="N8" i="22"/>
  <c r="N7" i="22"/>
  <c r="N6" i="22"/>
  <c r="N5" i="22"/>
  <c r="N4" i="22"/>
  <c r="N53" i="21"/>
  <c r="N52" i="21"/>
  <c r="N51" i="21"/>
  <c r="N50" i="21"/>
  <c r="N49" i="21"/>
  <c r="N48" i="21"/>
  <c r="N47" i="21"/>
  <c r="N46" i="21"/>
  <c r="N45" i="21"/>
  <c r="N44" i="21"/>
  <c r="N43" i="21"/>
  <c r="N42" i="21"/>
  <c r="N41" i="21"/>
  <c r="N40" i="21"/>
  <c r="N39" i="21"/>
  <c r="N38" i="21"/>
  <c r="N37" i="21"/>
  <c r="N36" i="21"/>
  <c r="N35" i="21"/>
  <c r="N34" i="21"/>
  <c r="N33" i="21"/>
  <c r="N32" i="21"/>
  <c r="N31" i="21"/>
  <c r="N30" i="21"/>
  <c r="N29" i="21"/>
  <c r="N28" i="21"/>
  <c r="N27" i="21"/>
  <c r="N26" i="21"/>
  <c r="N25" i="21"/>
  <c r="N24" i="21"/>
  <c r="N23" i="21"/>
  <c r="N22" i="21"/>
  <c r="N21" i="21"/>
  <c r="N20" i="21"/>
  <c r="N19" i="21"/>
  <c r="N18" i="21"/>
  <c r="N17" i="21"/>
  <c r="N16" i="21"/>
  <c r="N15" i="21"/>
  <c r="N14" i="21"/>
  <c r="N13" i="21"/>
  <c r="N12" i="21"/>
  <c r="N11" i="21"/>
  <c r="N10" i="21"/>
  <c r="N9" i="21"/>
  <c r="N8" i="21"/>
  <c r="N7" i="21"/>
  <c r="N6" i="21"/>
  <c r="N5" i="21"/>
  <c r="N4" i="21"/>
  <c r="N53" i="34"/>
  <c r="N52" i="34"/>
  <c r="N51" i="34"/>
  <c r="N50" i="34"/>
  <c r="N49" i="34"/>
  <c r="N48" i="34"/>
  <c r="N47" i="34"/>
  <c r="N46" i="34"/>
  <c r="N45" i="34"/>
  <c r="N44" i="34"/>
  <c r="N43" i="34"/>
  <c r="N42" i="34"/>
  <c r="N41" i="34"/>
  <c r="N40" i="34"/>
  <c r="N39" i="34"/>
  <c r="N38" i="34"/>
  <c r="N37" i="34"/>
  <c r="N36" i="34"/>
  <c r="N35" i="34"/>
  <c r="N34" i="34"/>
  <c r="N33" i="34"/>
  <c r="N32" i="34"/>
  <c r="N31" i="34"/>
  <c r="N30" i="34"/>
  <c r="N29" i="34"/>
  <c r="N28" i="34"/>
  <c r="N27" i="34"/>
  <c r="N26" i="34"/>
  <c r="N25" i="34"/>
  <c r="N24" i="34"/>
  <c r="N23" i="34"/>
  <c r="N22" i="34"/>
  <c r="N21" i="34"/>
  <c r="N20" i="34"/>
  <c r="N19" i="34"/>
  <c r="N18" i="34"/>
  <c r="N17" i="34"/>
  <c r="N16" i="34"/>
  <c r="N15" i="34"/>
  <c r="N14" i="34"/>
  <c r="N13" i="34"/>
  <c r="N12" i="34"/>
  <c r="N11" i="34"/>
  <c r="N10" i="34"/>
  <c r="N9" i="34"/>
  <c r="N8" i="34"/>
  <c r="N7" i="34"/>
  <c r="N6" i="34"/>
  <c r="N5" i="34"/>
  <c r="N4" i="34"/>
  <c r="P53" i="34"/>
  <c r="P52" i="34"/>
  <c r="P51" i="34"/>
  <c r="P50" i="34"/>
  <c r="P49" i="34"/>
  <c r="P48" i="34"/>
  <c r="P47" i="34"/>
  <c r="P46" i="34"/>
  <c r="P45" i="34"/>
  <c r="P44" i="34"/>
  <c r="P43" i="34"/>
  <c r="P42" i="34"/>
  <c r="P41" i="34"/>
  <c r="P40" i="34"/>
  <c r="P39" i="34"/>
  <c r="P38" i="34"/>
  <c r="P37" i="34"/>
  <c r="P36" i="34"/>
  <c r="P35" i="34"/>
  <c r="P34" i="34"/>
  <c r="P33" i="34"/>
  <c r="P32" i="34"/>
  <c r="P31" i="34"/>
  <c r="P30" i="34"/>
  <c r="P29" i="34"/>
  <c r="P28" i="34"/>
  <c r="P27" i="34"/>
  <c r="P26" i="34"/>
  <c r="P25" i="34"/>
  <c r="P24" i="34"/>
  <c r="P23" i="34"/>
  <c r="P22" i="34"/>
  <c r="P21" i="34"/>
  <c r="P20" i="34"/>
  <c r="P19" i="34"/>
  <c r="P18" i="34"/>
  <c r="P17" i="34"/>
  <c r="P16" i="34"/>
  <c r="P15" i="34"/>
  <c r="P14" i="34"/>
  <c r="P13" i="34"/>
  <c r="P12" i="34"/>
  <c r="P11" i="34"/>
  <c r="P10" i="34"/>
  <c r="P9" i="34"/>
  <c r="P8" i="34"/>
  <c r="P7" i="34"/>
  <c r="P6" i="34"/>
  <c r="P53" i="21"/>
  <c r="P52" i="21"/>
  <c r="P51" i="21"/>
  <c r="P50" i="21"/>
  <c r="P49" i="21"/>
  <c r="P48" i="21"/>
  <c r="P47" i="21"/>
  <c r="P46" i="21"/>
  <c r="P45" i="21"/>
  <c r="P44" i="21"/>
  <c r="P43" i="21"/>
  <c r="P42" i="21"/>
  <c r="P41" i="21"/>
  <c r="P40" i="21"/>
  <c r="P39" i="21"/>
  <c r="P38" i="21"/>
  <c r="P37" i="21"/>
  <c r="P36" i="21"/>
  <c r="P35" i="21"/>
  <c r="P34" i="21"/>
  <c r="P33" i="21"/>
  <c r="P32" i="21"/>
  <c r="P31" i="21"/>
  <c r="P30" i="21"/>
  <c r="P29" i="21"/>
  <c r="P28" i="21"/>
  <c r="P27" i="21"/>
  <c r="P26" i="21"/>
  <c r="P25" i="21"/>
  <c r="P24" i="21"/>
  <c r="P23" i="21"/>
  <c r="P22" i="21"/>
  <c r="P21" i="21"/>
  <c r="P20" i="21"/>
  <c r="P19" i="21"/>
  <c r="P18" i="21"/>
  <c r="P17" i="21"/>
  <c r="P16" i="21"/>
  <c r="P15" i="21"/>
  <c r="P14" i="21"/>
  <c r="P13" i="21"/>
  <c r="P12" i="21"/>
  <c r="P11" i="21"/>
  <c r="P10" i="21"/>
  <c r="P9" i="21"/>
  <c r="P8" i="21"/>
  <c r="P7" i="21"/>
  <c r="P6" i="21"/>
  <c r="P5" i="21"/>
  <c r="P53" i="22"/>
  <c r="P52" i="22"/>
  <c r="P51" i="22"/>
  <c r="P50" i="22"/>
  <c r="P49" i="22"/>
  <c r="P48" i="22"/>
  <c r="P47" i="22"/>
  <c r="P46" i="22"/>
  <c r="P45" i="22"/>
  <c r="P44" i="22"/>
  <c r="P43" i="22"/>
  <c r="P42" i="22"/>
  <c r="P41" i="22"/>
  <c r="P40" i="22"/>
  <c r="P39" i="22"/>
  <c r="P38" i="22"/>
  <c r="P37" i="22"/>
  <c r="P36" i="22"/>
  <c r="P35" i="22"/>
  <c r="P34" i="22"/>
  <c r="P33" i="22"/>
  <c r="P32" i="22"/>
  <c r="P31" i="22"/>
  <c r="P30" i="22"/>
  <c r="P29" i="22"/>
  <c r="P28" i="22"/>
  <c r="P27" i="22"/>
  <c r="P26" i="22"/>
  <c r="P25" i="22"/>
  <c r="P24" i="22"/>
  <c r="P23" i="22"/>
  <c r="P22" i="22"/>
  <c r="P21" i="22"/>
  <c r="P20" i="22"/>
  <c r="P19" i="22"/>
  <c r="P18" i="22"/>
  <c r="P17" i="22"/>
  <c r="P16" i="22"/>
  <c r="P15" i="22"/>
  <c r="P14" i="22"/>
  <c r="P13" i="22"/>
  <c r="P12" i="22"/>
  <c r="P11" i="22"/>
  <c r="P10" i="22"/>
  <c r="P9" i="22"/>
  <c r="P8" i="22"/>
  <c r="P7" i="22"/>
  <c r="P6" i="22"/>
  <c r="P5" i="22"/>
  <c r="P4" i="25"/>
  <c r="P4" i="22"/>
  <c r="P4" i="21"/>
  <c r="P4" i="34"/>
  <c r="N53" i="15"/>
  <c r="O53" i="15"/>
  <c r="P53" i="15"/>
  <c r="Q53" i="15"/>
  <c r="V53" i="15"/>
  <c r="R53" i="15"/>
  <c r="W53" i="15"/>
  <c r="S53" i="15"/>
  <c r="X53" i="15"/>
  <c r="AA53" i="15"/>
  <c r="N52" i="15"/>
  <c r="O52" i="15"/>
  <c r="P52" i="15"/>
  <c r="Q52" i="15"/>
  <c r="V52" i="15"/>
  <c r="R52" i="15"/>
  <c r="W52" i="15"/>
  <c r="S52" i="15"/>
  <c r="X52" i="15"/>
  <c r="AA52" i="15"/>
  <c r="N51" i="15"/>
  <c r="O51" i="15"/>
  <c r="P51" i="15"/>
  <c r="Q51" i="15"/>
  <c r="V51" i="15"/>
  <c r="R51" i="15"/>
  <c r="W51" i="15"/>
  <c r="S51" i="15"/>
  <c r="X51" i="15"/>
  <c r="AA51" i="15"/>
  <c r="N50" i="15"/>
  <c r="O50" i="15"/>
  <c r="P50" i="15"/>
  <c r="Q50" i="15"/>
  <c r="V50" i="15"/>
  <c r="R50" i="15"/>
  <c r="W50" i="15"/>
  <c r="S50" i="15"/>
  <c r="X50" i="15"/>
  <c r="AA50" i="15"/>
  <c r="N49" i="15"/>
  <c r="O49" i="15"/>
  <c r="P49" i="15"/>
  <c r="Q49" i="15"/>
  <c r="V49" i="15"/>
  <c r="R49" i="15"/>
  <c r="W49" i="15"/>
  <c r="S49" i="15"/>
  <c r="X49" i="15"/>
  <c r="AA49" i="15"/>
  <c r="N48" i="15"/>
  <c r="O48" i="15"/>
  <c r="P48" i="15"/>
  <c r="Q48" i="15"/>
  <c r="V48" i="15"/>
  <c r="R48" i="15"/>
  <c r="W48" i="15"/>
  <c r="S48" i="15"/>
  <c r="X48" i="15"/>
  <c r="AA48" i="15"/>
  <c r="N47" i="15"/>
  <c r="O47" i="15"/>
  <c r="P47" i="15"/>
  <c r="Q47" i="15"/>
  <c r="V47" i="15"/>
  <c r="R47" i="15"/>
  <c r="W47" i="15"/>
  <c r="S47" i="15"/>
  <c r="X47" i="15"/>
  <c r="AA47" i="15"/>
  <c r="N46" i="15"/>
  <c r="O46" i="15"/>
  <c r="P46" i="15"/>
  <c r="Q46" i="15"/>
  <c r="V46" i="15"/>
  <c r="R46" i="15"/>
  <c r="W46" i="15"/>
  <c r="S46" i="15"/>
  <c r="X46" i="15"/>
  <c r="AA46" i="15"/>
  <c r="N45" i="15"/>
  <c r="O45" i="15"/>
  <c r="P45" i="15"/>
  <c r="Q45" i="15"/>
  <c r="V45" i="15"/>
  <c r="R45" i="15"/>
  <c r="W45" i="15"/>
  <c r="S45" i="15"/>
  <c r="X45" i="15"/>
  <c r="AA45" i="15"/>
  <c r="N44" i="15"/>
  <c r="O44" i="15"/>
  <c r="P44" i="15"/>
  <c r="Q44" i="15"/>
  <c r="V44" i="15"/>
  <c r="R44" i="15"/>
  <c r="W44" i="15"/>
  <c r="S44" i="15"/>
  <c r="X44" i="15"/>
  <c r="AA44" i="15"/>
  <c r="N43" i="15"/>
  <c r="O43" i="15"/>
  <c r="P43" i="15"/>
  <c r="Q43" i="15"/>
  <c r="V43" i="15"/>
  <c r="R43" i="15"/>
  <c r="W43" i="15"/>
  <c r="S43" i="15"/>
  <c r="X43" i="15"/>
  <c r="AA43" i="15"/>
  <c r="N42" i="15"/>
  <c r="O42" i="15"/>
  <c r="P42" i="15"/>
  <c r="Q42" i="15"/>
  <c r="V42" i="15"/>
  <c r="R42" i="15"/>
  <c r="W42" i="15"/>
  <c r="S42" i="15"/>
  <c r="X42" i="15"/>
  <c r="AA42" i="15"/>
  <c r="N41" i="15"/>
  <c r="O41" i="15"/>
  <c r="P41" i="15"/>
  <c r="Q41" i="15"/>
  <c r="V41" i="15"/>
  <c r="R41" i="15"/>
  <c r="W41" i="15"/>
  <c r="S41" i="15"/>
  <c r="X41" i="15"/>
  <c r="AA41" i="15"/>
  <c r="N40" i="15"/>
  <c r="O40" i="15"/>
  <c r="P40" i="15"/>
  <c r="Q40" i="15"/>
  <c r="V40" i="15"/>
  <c r="R40" i="15"/>
  <c r="W40" i="15"/>
  <c r="S40" i="15"/>
  <c r="X40" i="15"/>
  <c r="AA40" i="15"/>
  <c r="N39" i="15"/>
  <c r="O39" i="15"/>
  <c r="P39" i="15"/>
  <c r="Q39" i="15"/>
  <c r="V39" i="15"/>
  <c r="R39" i="15"/>
  <c r="W39" i="15"/>
  <c r="S39" i="15"/>
  <c r="X39" i="15"/>
  <c r="AA39" i="15"/>
  <c r="N38" i="15"/>
  <c r="O38" i="15"/>
  <c r="P38" i="15"/>
  <c r="Q38" i="15"/>
  <c r="V38" i="15"/>
  <c r="R38" i="15"/>
  <c r="W38" i="15"/>
  <c r="S38" i="15"/>
  <c r="X38" i="15"/>
  <c r="AA38" i="15"/>
  <c r="N37" i="15"/>
  <c r="O37" i="15"/>
  <c r="P37" i="15"/>
  <c r="Q37" i="15"/>
  <c r="V37" i="15"/>
  <c r="R37" i="15"/>
  <c r="W37" i="15"/>
  <c r="S37" i="15"/>
  <c r="X37" i="15"/>
  <c r="AA37" i="15"/>
  <c r="N36" i="15"/>
  <c r="O36" i="15"/>
  <c r="P36" i="15"/>
  <c r="Q36" i="15"/>
  <c r="V36" i="15"/>
  <c r="R36" i="15"/>
  <c r="W36" i="15"/>
  <c r="S36" i="15"/>
  <c r="X36" i="15"/>
  <c r="AA36" i="15"/>
  <c r="N35" i="15"/>
  <c r="O35" i="15"/>
  <c r="P35" i="15"/>
  <c r="Q35" i="15"/>
  <c r="V35" i="15"/>
  <c r="R35" i="15"/>
  <c r="W35" i="15"/>
  <c r="S35" i="15"/>
  <c r="X35" i="15"/>
  <c r="AA35" i="15"/>
  <c r="N34" i="15"/>
  <c r="O34" i="15"/>
  <c r="P34" i="15"/>
  <c r="Q34" i="15"/>
  <c r="V34" i="15"/>
  <c r="R34" i="15"/>
  <c r="W34" i="15"/>
  <c r="S34" i="15"/>
  <c r="X34" i="15"/>
  <c r="AA34" i="15"/>
  <c r="N33" i="15"/>
  <c r="O33" i="15"/>
  <c r="P33" i="15"/>
  <c r="Q33" i="15"/>
  <c r="V33" i="15"/>
  <c r="R33" i="15"/>
  <c r="W33" i="15"/>
  <c r="S33" i="15"/>
  <c r="X33" i="15"/>
  <c r="AA33" i="15"/>
  <c r="N32" i="15"/>
  <c r="O32" i="15"/>
  <c r="P32" i="15"/>
  <c r="Q32" i="15"/>
  <c r="V32" i="15"/>
  <c r="R32" i="15"/>
  <c r="W32" i="15"/>
  <c r="S32" i="15"/>
  <c r="X32" i="15"/>
  <c r="AA32" i="15"/>
  <c r="N31" i="15"/>
  <c r="O31" i="15"/>
  <c r="P31" i="15"/>
  <c r="Q31" i="15"/>
  <c r="V31" i="15"/>
  <c r="R31" i="15"/>
  <c r="W31" i="15"/>
  <c r="S31" i="15"/>
  <c r="X31" i="15"/>
  <c r="AA31" i="15"/>
  <c r="N30" i="15"/>
  <c r="O30" i="15"/>
  <c r="P30" i="15"/>
  <c r="Q30" i="15"/>
  <c r="V30" i="15"/>
  <c r="R30" i="15"/>
  <c r="W30" i="15"/>
  <c r="S30" i="15"/>
  <c r="X30" i="15"/>
  <c r="AA30" i="15"/>
  <c r="N29" i="15"/>
  <c r="O29" i="15"/>
  <c r="P29" i="15"/>
  <c r="Q29" i="15"/>
  <c r="V29" i="15"/>
  <c r="R29" i="15"/>
  <c r="W29" i="15"/>
  <c r="S29" i="15"/>
  <c r="X29" i="15"/>
  <c r="AA29" i="15"/>
  <c r="N28" i="15"/>
  <c r="O28" i="15"/>
  <c r="P28" i="15"/>
  <c r="Q28" i="15"/>
  <c r="V28" i="15"/>
  <c r="R28" i="15"/>
  <c r="W28" i="15"/>
  <c r="S28" i="15"/>
  <c r="X28" i="15"/>
  <c r="AA28" i="15"/>
  <c r="N27" i="15"/>
  <c r="O27" i="15"/>
  <c r="P27" i="15"/>
  <c r="Q27" i="15"/>
  <c r="V27" i="15"/>
  <c r="R27" i="15"/>
  <c r="W27" i="15"/>
  <c r="S27" i="15"/>
  <c r="X27" i="15"/>
  <c r="AA27" i="15"/>
  <c r="N26" i="15"/>
  <c r="O26" i="15"/>
  <c r="P26" i="15"/>
  <c r="Q26" i="15"/>
  <c r="V26" i="15"/>
  <c r="R26" i="15"/>
  <c r="W26" i="15"/>
  <c r="S26" i="15"/>
  <c r="X26" i="15"/>
  <c r="AA26" i="15"/>
  <c r="N25" i="15"/>
  <c r="O25" i="15"/>
  <c r="P25" i="15"/>
  <c r="Q25" i="15"/>
  <c r="V25" i="15"/>
  <c r="R25" i="15"/>
  <c r="W25" i="15"/>
  <c r="S25" i="15"/>
  <c r="X25" i="15"/>
  <c r="AA25" i="15"/>
  <c r="N24" i="15"/>
  <c r="O24" i="15"/>
  <c r="P24" i="15"/>
  <c r="Q24" i="15"/>
  <c r="V24" i="15"/>
  <c r="R24" i="15"/>
  <c r="W24" i="15"/>
  <c r="S24" i="15"/>
  <c r="X24" i="15"/>
  <c r="AA24" i="15"/>
  <c r="N23" i="15"/>
  <c r="O23" i="15"/>
  <c r="P23" i="15"/>
  <c r="Q23" i="15"/>
  <c r="V23" i="15"/>
  <c r="R23" i="15"/>
  <c r="W23" i="15"/>
  <c r="S23" i="15"/>
  <c r="X23" i="15"/>
  <c r="AA23" i="15"/>
  <c r="N22" i="15"/>
  <c r="O22" i="15"/>
  <c r="P22" i="15"/>
  <c r="Q22" i="15"/>
  <c r="V22" i="15"/>
  <c r="R22" i="15"/>
  <c r="W22" i="15"/>
  <c r="S22" i="15"/>
  <c r="X22" i="15"/>
  <c r="AA22" i="15"/>
  <c r="N21" i="15"/>
  <c r="O21" i="15"/>
  <c r="P21" i="15"/>
  <c r="Q21" i="15"/>
  <c r="V21" i="15"/>
  <c r="R21" i="15"/>
  <c r="W21" i="15"/>
  <c r="S21" i="15"/>
  <c r="X21" i="15"/>
  <c r="AA21" i="15"/>
  <c r="N20" i="15"/>
  <c r="O20" i="15"/>
  <c r="P20" i="15"/>
  <c r="Q20" i="15"/>
  <c r="V20" i="15"/>
  <c r="R20" i="15"/>
  <c r="W20" i="15"/>
  <c r="S20" i="15"/>
  <c r="X20" i="15"/>
  <c r="AA20" i="15"/>
  <c r="N19" i="15"/>
  <c r="O19" i="15"/>
  <c r="P19" i="15"/>
  <c r="Q19" i="15"/>
  <c r="V19" i="15"/>
  <c r="R19" i="15"/>
  <c r="W19" i="15"/>
  <c r="S19" i="15"/>
  <c r="X19" i="15"/>
  <c r="AA19" i="15"/>
  <c r="N18" i="15"/>
  <c r="O18" i="15"/>
  <c r="P18" i="15"/>
  <c r="Q18" i="15"/>
  <c r="V18" i="15"/>
  <c r="R18" i="15"/>
  <c r="W18" i="15"/>
  <c r="S18" i="15"/>
  <c r="X18" i="15"/>
  <c r="AA18" i="15"/>
  <c r="N17" i="15"/>
  <c r="O17" i="15"/>
  <c r="P17" i="15"/>
  <c r="Q17" i="15"/>
  <c r="V17" i="15"/>
  <c r="R17" i="15"/>
  <c r="W17" i="15"/>
  <c r="S17" i="15"/>
  <c r="X17" i="15"/>
  <c r="AA17" i="15"/>
  <c r="N16" i="15"/>
  <c r="O16" i="15"/>
  <c r="P16" i="15"/>
  <c r="Q16" i="15"/>
  <c r="V16" i="15"/>
  <c r="R16" i="15"/>
  <c r="W16" i="15"/>
  <c r="S16" i="15"/>
  <c r="X16" i="15"/>
  <c r="AA16" i="15"/>
  <c r="N15" i="15"/>
  <c r="O15" i="15"/>
  <c r="P15" i="15"/>
  <c r="Q15" i="15"/>
  <c r="V15" i="15"/>
  <c r="R15" i="15"/>
  <c r="W15" i="15"/>
  <c r="S15" i="15"/>
  <c r="X15" i="15"/>
  <c r="AA15" i="15"/>
  <c r="N14" i="15"/>
  <c r="O14" i="15"/>
  <c r="P14" i="15"/>
  <c r="Q14" i="15"/>
  <c r="V14" i="15"/>
  <c r="R14" i="15"/>
  <c r="W14" i="15"/>
  <c r="S14" i="15"/>
  <c r="X14" i="15"/>
  <c r="AA14" i="15"/>
  <c r="N13" i="15"/>
  <c r="O13" i="15"/>
  <c r="P13" i="15"/>
  <c r="Q13" i="15"/>
  <c r="V13" i="15"/>
  <c r="R13" i="15"/>
  <c r="W13" i="15"/>
  <c r="S13" i="15"/>
  <c r="X13" i="15"/>
  <c r="AA13" i="15"/>
  <c r="N12" i="15"/>
  <c r="O12" i="15"/>
  <c r="P12" i="15"/>
  <c r="Q12" i="15"/>
  <c r="V12" i="15"/>
  <c r="R12" i="15"/>
  <c r="W12" i="15"/>
  <c r="S12" i="15"/>
  <c r="X12" i="15"/>
  <c r="AA12" i="15"/>
  <c r="N11" i="15"/>
  <c r="O11" i="15"/>
  <c r="P11" i="15"/>
  <c r="Q11" i="15"/>
  <c r="V11" i="15"/>
  <c r="R11" i="15"/>
  <c r="W11" i="15"/>
  <c r="S11" i="15"/>
  <c r="X11" i="15"/>
  <c r="AA11" i="15"/>
  <c r="N10" i="15"/>
  <c r="O10" i="15"/>
  <c r="P10" i="15"/>
  <c r="Q10" i="15"/>
  <c r="V10" i="15"/>
  <c r="R10" i="15"/>
  <c r="W10" i="15"/>
  <c r="S10" i="15"/>
  <c r="X10" i="15"/>
  <c r="AA10" i="15"/>
  <c r="N9" i="15"/>
  <c r="O9" i="15"/>
  <c r="P9" i="15"/>
  <c r="Q9" i="15"/>
  <c r="V9" i="15"/>
  <c r="R9" i="15"/>
  <c r="W9" i="15"/>
  <c r="S9" i="15"/>
  <c r="X9" i="15"/>
  <c r="AA9" i="15"/>
  <c r="N8" i="15"/>
  <c r="O8" i="15"/>
  <c r="P8" i="15"/>
  <c r="Q8" i="15"/>
  <c r="V8" i="15"/>
  <c r="R8" i="15"/>
  <c r="W8" i="15"/>
  <c r="S8" i="15"/>
  <c r="X8" i="15"/>
  <c r="AA8" i="15"/>
  <c r="N7" i="15"/>
  <c r="O7" i="15"/>
  <c r="P7" i="15"/>
  <c r="Q7" i="15"/>
  <c r="V7" i="15"/>
  <c r="R7" i="15"/>
  <c r="W7" i="15"/>
  <c r="S7" i="15"/>
  <c r="X7" i="15"/>
  <c r="AA7" i="15"/>
  <c r="N6" i="15"/>
  <c r="O6" i="15"/>
  <c r="P6" i="15"/>
  <c r="Q6" i="15"/>
  <c r="V6" i="15"/>
  <c r="R6" i="15"/>
  <c r="W6" i="15"/>
  <c r="S6" i="15"/>
  <c r="X6" i="15"/>
  <c r="AA6" i="15"/>
  <c r="N5" i="15"/>
  <c r="O5" i="15"/>
  <c r="P5" i="15"/>
  <c r="Q5" i="15"/>
  <c r="R5" i="15"/>
  <c r="W5" i="15"/>
  <c r="S5" i="15"/>
  <c r="X5" i="15"/>
  <c r="AA5" i="15"/>
  <c r="N4" i="15"/>
  <c r="O4" i="15"/>
  <c r="P4" i="15"/>
  <c r="Q4" i="15"/>
  <c r="V4" i="15"/>
  <c r="S4" i="15"/>
  <c r="X4" i="15"/>
  <c r="AA4" i="15"/>
  <c r="R4" i="15"/>
  <c r="W4" i="15"/>
  <c r="H53" i="21"/>
  <c r="H52" i="21"/>
  <c r="H51" i="21"/>
  <c r="H50" i="21"/>
  <c r="H49" i="21"/>
  <c r="H48" i="21"/>
  <c r="H47" i="21"/>
  <c r="H46" i="21"/>
  <c r="H45" i="21"/>
  <c r="H44" i="21"/>
  <c r="H43" i="21"/>
  <c r="H42" i="21"/>
  <c r="H41" i="21"/>
  <c r="H40" i="21"/>
  <c r="H39" i="21"/>
  <c r="H38" i="21"/>
  <c r="H37" i="21"/>
  <c r="H36" i="21"/>
  <c r="H35" i="21"/>
  <c r="H34" i="21"/>
  <c r="H33" i="21"/>
  <c r="H32" i="21"/>
  <c r="H31" i="21"/>
  <c r="H30" i="21"/>
  <c r="H29" i="21"/>
  <c r="H28" i="21"/>
  <c r="H27" i="21"/>
  <c r="H26" i="21"/>
  <c r="H25" i="21"/>
  <c r="H24" i="21"/>
  <c r="H23" i="21"/>
  <c r="H22" i="21"/>
  <c r="H21" i="21"/>
  <c r="H20" i="21"/>
  <c r="H19" i="21"/>
  <c r="H18" i="21"/>
  <c r="H17" i="21"/>
  <c r="H16" i="21"/>
  <c r="H15" i="21"/>
  <c r="H14" i="21"/>
  <c r="H13" i="21"/>
  <c r="H12" i="21"/>
  <c r="H11" i="21"/>
  <c r="H10" i="21"/>
  <c r="H9" i="21"/>
  <c r="H8" i="21"/>
  <c r="H7" i="21"/>
  <c r="H6" i="21"/>
  <c r="H5" i="21"/>
  <c r="H53" i="34"/>
  <c r="H52" i="34"/>
  <c r="H51" i="34"/>
  <c r="H50" i="34"/>
  <c r="H49" i="34"/>
  <c r="H48" i="34"/>
  <c r="H47" i="34"/>
  <c r="H46" i="34"/>
  <c r="H45" i="34"/>
  <c r="H44" i="34"/>
  <c r="H43" i="34"/>
  <c r="H42" i="34"/>
  <c r="H41" i="34"/>
  <c r="H40" i="34"/>
  <c r="H39" i="34"/>
  <c r="H38" i="34"/>
  <c r="H37" i="34"/>
  <c r="H36" i="34"/>
  <c r="H35" i="34"/>
  <c r="H34" i="34"/>
  <c r="H33" i="34"/>
  <c r="H32" i="34"/>
  <c r="H31" i="34"/>
  <c r="H30" i="34"/>
  <c r="H29" i="34"/>
  <c r="H28" i="34"/>
  <c r="H27" i="34"/>
  <c r="H26" i="34"/>
  <c r="H25" i="34"/>
  <c r="H24" i="34"/>
  <c r="H23" i="34"/>
  <c r="H22" i="34"/>
  <c r="H21" i="34"/>
  <c r="H20" i="34"/>
  <c r="H19" i="34"/>
  <c r="H18" i="34"/>
  <c r="H17" i="34"/>
  <c r="H16" i="34"/>
  <c r="H15" i="34"/>
  <c r="H14" i="34"/>
  <c r="H13" i="34"/>
  <c r="H12" i="34"/>
  <c r="H11" i="34"/>
  <c r="H10" i="34"/>
  <c r="H9" i="34"/>
  <c r="H8" i="34"/>
  <c r="H7" i="34"/>
  <c r="H6" i="34"/>
  <c r="H5" i="34"/>
  <c r="H4" i="34"/>
  <c r="B55" i="23"/>
  <c r="I53" i="22"/>
  <c r="I52" i="22"/>
  <c r="I51" i="22"/>
  <c r="I50" i="22"/>
  <c r="I49" i="22"/>
  <c r="I48" i="22"/>
  <c r="I47" i="22"/>
  <c r="I46" i="22"/>
  <c r="I45" i="22"/>
  <c r="I44" i="22"/>
  <c r="I43" i="22"/>
  <c r="I42" i="22"/>
  <c r="I41" i="22"/>
  <c r="I40" i="22"/>
  <c r="I39" i="22"/>
  <c r="I38" i="22"/>
  <c r="I37" i="22"/>
  <c r="I36" i="22"/>
  <c r="I35" i="22"/>
  <c r="I34" i="22"/>
  <c r="I33" i="22"/>
  <c r="I32" i="22"/>
  <c r="I31" i="22"/>
  <c r="I30" i="22"/>
  <c r="I29" i="22"/>
  <c r="I28" i="22"/>
  <c r="I27" i="22"/>
  <c r="I26" i="22"/>
  <c r="I25" i="22"/>
  <c r="I24" i="22"/>
  <c r="I23" i="22"/>
  <c r="I22" i="22"/>
  <c r="I21" i="22"/>
  <c r="I20" i="22"/>
  <c r="I19" i="22"/>
  <c r="I18" i="22"/>
  <c r="I17" i="22"/>
  <c r="I16" i="22"/>
  <c r="I15" i="22"/>
  <c r="I14" i="22"/>
  <c r="I13" i="22"/>
  <c r="I12" i="22"/>
  <c r="I11" i="22"/>
  <c r="I10" i="22"/>
  <c r="I9" i="22"/>
  <c r="I8" i="22"/>
  <c r="I7" i="22"/>
  <c r="I6" i="22"/>
  <c r="I5" i="22"/>
  <c r="I4" i="22"/>
  <c r="I53" i="25"/>
  <c r="I52" i="25"/>
  <c r="I51" i="25"/>
  <c r="I50" i="25"/>
  <c r="I49" i="25"/>
  <c r="I48" i="25"/>
  <c r="I47" i="25"/>
  <c r="I46" i="25"/>
  <c r="I45" i="25"/>
  <c r="I44" i="25"/>
  <c r="I43" i="25"/>
  <c r="I42" i="25"/>
  <c r="I41" i="25"/>
  <c r="I40" i="25"/>
  <c r="I39" i="25"/>
  <c r="I38" i="25"/>
  <c r="I37" i="25"/>
  <c r="I36" i="25"/>
  <c r="I35" i="25"/>
  <c r="I34" i="25"/>
  <c r="I33" i="25"/>
  <c r="I32" i="25"/>
  <c r="I31" i="25"/>
  <c r="I30" i="25"/>
  <c r="I29" i="25"/>
  <c r="I28" i="25"/>
  <c r="I27" i="25"/>
  <c r="I26" i="25"/>
  <c r="I25" i="25"/>
  <c r="I24" i="25"/>
  <c r="I23" i="25"/>
  <c r="I22" i="25"/>
  <c r="I21" i="25"/>
  <c r="I20" i="25"/>
  <c r="I19" i="25"/>
  <c r="I18" i="25"/>
  <c r="I17" i="25"/>
  <c r="I16" i="25"/>
  <c r="I15" i="25"/>
  <c r="I14" i="25"/>
  <c r="I13" i="25"/>
  <c r="I12" i="25"/>
  <c r="I11" i="25"/>
  <c r="I10" i="25"/>
  <c r="I9" i="25"/>
  <c r="I8" i="25"/>
  <c r="I7" i="25"/>
  <c r="I6" i="25"/>
  <c r="I5" i="25"/>
  <c r="I55" i="25"/>
  <c r="I4" i="25"/>
  <c r="I53" i="21"/>
  <c r="I52" i="21"/>
  <c r="I51" i="21"/>
  <c r="I50" i="21"/>
  <c r="I49" i="21"/>
  <c r="I48" i="21"/>
  <c r="I47" i="21"/>
  <c r="I46" i="21"/>
  <c r="I45" i="21"/>
  <c r="I44" i="21"/>
  <c r="I43" i="21"/>
  <c r="I42" i="21"/>
  <c r="I41" i="21"/>
  <c r="I40" i="21"/>
  <c r="I39" i="21"/>
  <c r="I38" i="21"/>
  <c r="I37" i="21"/>
  <c r="I36" i="21"/>
  <c r="I35" i="21"/>
  <c r="I34" i="21"/>
  <c r="I33" i="21"/>
  <c r="I32" i="21"/>
  <c r="I31" i="21"/>
  <c r="I30" i="21"/>
  <c r="I29" i="21"/>
  <c r="I28" i="21"/>
  <c r="I27" i="21"/>
  <c r="I26" i="21"/>
  <c r="I25" i="21"/>
  <c r="I24" i="21"/>
  <c r="I23" i="21"/>
  <c r="I22" i="21"/>
  <c r="I21" i="21"/>
  <c r="I20" i="21"/>
  <c r="I19" i="21"/>
  <c r="I18" i="21"/>
  <c r="I17" i="21"/>
  <c r="I16" i="21"/>
  <c r="I15" i="21"/>
  <c r="I14" i="21"/>
  <c r="I13" i="21"/>
  <c r="I12" i="21"/>
  <c r="I11" i="21"/>
  <c r="I10" i="21"/>
  <c r="I9" i="21"/>
  <c r="I8" i="21"/>
  <c r="I7" i="21"/>
  <c r="I6" i="21"/>
  <c r="I5" i="21"/>
  <c r="I4" i="21"/>
  <c r="I53" i="34"/>
  <c r="I52" i="34"/>
  <c r="I51" i="34"/>
  <c r="I50" i="34"/>
  <c r="I49" i="34"/>
  <c r="I48" i="34"/>
  <c r="I47" i="34"/>
  <c r="I46" i="34"/>
  <c r="I45" i="34"/>
  <c r="I44" i="34"/>
  <c r="I43" i="34"/>
  <c r="I42" i="34"/>
  <c r="I41" i="34"/>
  <c r="I40" i="34"/>
  <c r="I39" i="34"/>
  <c r="I38" i="34"/>
  <c r="I37" i="34"/>
  <c r="I36" i="34"/>
  <c r="I35" i="34"/>
  <c r="I34" i="34"/>
  <c r="I33" i="34"/>
  <c r="I32" i="34"/>
  <c r="I31" i="34"/>
  <c r="I30" i="34"/>
  <c r="I29" i="34"/>
  <c r="I28" i="34"/>
  <c r="I27" i="34"/>
  <c r="I26" i="34"/>
  <c r="I25" i="34"/>
  <c r="I24" i="34"/>
  <c r="I23" i="34"/>
  <c r="I22" i="34"/>
  <c r="I21" i="34"/>
  <c r="I20" i="34"/>
  <c r="I19" i="34"/>
  <c r="I18" i="34"/>
  <c r="I17" i="34"/>
  <c r="I16" i="34"/>
  <c r="I15" i="34"/>
  <c r="I14" i="34"/>
  <c r="I13" i="34"/>
  <c r="I12" i="34"/>
  <c r="I11" i="34"/>
  <c r="I10" i="34"/>
  <c r="I9" i="34"/>
  <c r="I8" i="34"/>
  <c r="I7" i="34"/>
  <c r="I6" i="34"/>
  <c r="I5" i="34"/>
  <c r="I4" i="34"/>
  <c r="I53" i="35"/>
  <c r="I52" i="35"/>
  <c r="I51" i="35"/>
  <c r="I50" i="35"/>
  <c r="I49" i="35"/>
  <c r="I48" i="35"/>
  <c r="I47" i="35"/>
  <c r="I46" i="35"/>
  <c r="I45" i="35"/>
  <c r="I44" i="35"/>
  <c r="I43" i="35"/>
  <c r="I42" i="35"/>
  <c r="I41" i="35"/>
  <c r="I40" i="35"/>
  <c r="I39" i="35"/>
  <c r="I38" i="35"/>
  <c r="I37" i="35"/>
  <c r="I36" i="35"/>
  <c r="I35" i="35"/>
  <c r="I34" i="35"/>
  <c r="I33" i="35"/>
  <c r="I32" i="35"/>
  <c r="I31" i="35"/>
  <c r="I30" i="35"/>
  <c r="I29" i="35"/>
  <c r="I28" i="35"/>
  <c r="I27" i="35"/>
  <c r="I26" i="35"/>
  <c r="I25" i="35"/>
  <c r="I24" i="35"/>
  <c r="I23" i="35"/>
  <c r="I22" i="35"/>
  <c r="I21" i="35"/>
  <c r="I20" i="35"/>
  <c r="I19" i="35"/>
  <c r="I18" i="35"/>
  <c r="I17" i="35"/>
  <c r="I16" i="35"/>
  <c r="I15" i="35"/>
  <c r="I14" i="35"/>
  <c r="I13" i="35"/>
  <c r="I12" i="35"/>
  <c r="I11" i="35"/>
  <c r="I10" i="35"/>
  <c r="I9" i="35"/>
  <c r="I8" i="35"/>
  <c r="I7" i="35"/>
  <c r="I6" i="35"/>
  <c r="I5" i="35"/>
  <c r="I4" i="35"/>
  <c r="G53" i="25"/>
  <c r="G52" i="25"/>
  <c r="G51" i="25"/>
  <c r="G50" i="25"/>
  <c r="G49" i="25"/>
  <c r="G48" i="25"/>
  <c r="G47" i="25"/>
  <c r="G46" i="25"/>
  <c r="G45" i="25"/>
  <c r="G44" i="25"/>
  <c r="G43" i="25"/>
  <c r="G42" i="25"/>
  <c r="G41" i="25"/>
  <c r="G40" i="25"/>
  <c r="G39" i="25"/>
  <c r="G38" i="25"/>
  <c r="G37" i="25"/>
  <c r="G36" i="25"/>
  <c r="G35" i="25"/>
  <c r="G34" i="25"/>
  <c r="G33" i="25"/>
  <c r="G32" i="25"/>
  <c r="G31" i="25"/>
  <c r="G30" i="25"/>
  <c r="G29" i="25"/>
  <c r="G28" i="25"/>
  <c r="G27" i="25"/>
  <c r="G26" i="25"/>
  <c r="G25" i="25"/>
  <c r="G24" i="25"/>
  <c r="G23" i="25"/>
  <c r="G22" i="25"/>
  <c r="G21" i="25"/>
  <c r="G20" i="25"/>
  <c r="G19" i="25"/>
  <c r="G18" i="25"/>
  <c r="G17" i="25"/>
  <c r="G16" i="25"/>
  <c r="G15" i="25"/>
  <c r="G14" i="25"/>
  <c r="G13" i="25"/>
  <c r="G12" i="25"/>
  <c r="G11" i="25"/>
  <c r="G10" i="25"/>
  <c r="G9" i="25"/>
  <c r="G8" i="25"/>
  <c r="G7" i="25"/>
  <c r="G6" i="25"/>
  <c r="G5" i="25"/>
  <c r="G55" i="25"/>
  <c r="G4" i="25"/>
  <c r="G53" i="22"/>
  <c r="G52" i="22"/>
  <c r="G51" i="22"/>
  <c r="G50" i="22"/>
  <c r="G49" i="22"/>
  <c r="G48" i="22"/>
  <c r="G47" i="22"/>
  <c r="G46" i="22"/>
  <c r="G45" i="22"/>
  <c r="G44" i="22"/>
  <c r="G43" i="22"/>
  <c r="G42" i="22"/>
  <c r="G41" i="22"/>
  <c r="G40" i="22"/>
  <c r="G39" i="22"/>
  <c r="G38" i="22"/>
  <c r="G37" i="22"/>
  <c r="G36" i="22"/>
  <c r="G35" i="22"/>
  <c r="G34" i="22"/>
  <c r="G33" i="22"/>
  <c r="G32" i="22"/>
  <c r="G31" i="22"/>
  <c r="G30" i="22"/>
  <c r="G29" i="22"/>
  <c r="G28" i="22"/>
  <c r="G27" i="22"/>
  <c r="G26" i="22"/>
  <c r="G25" i="22"/>
  <c r="G24" i="22"/>
  <c r="G23" i="22"/>
  <c r="G22" i="22"/>
  <c r="G21" i="22"/>
  <c r="G20" i="22"/>
  <c r="G19" i="22"/>
  <c r="G18" i="22"/>
  <c r="G17" i="22"/>
  <c r="G16" i="22"/>
  <c r="G15" i="22"/>
  <c r="G14" i="22"/>
  <c r="G13" i="22"/>
  <c r="G12" i="22"/>
  <c r="G11" i="22"/>
  <c r="G10" i="22"/>
  <c r="G9" i="22"/>
  <c r="G8" i="22"/>
  <c r="G7" i="22"/>
  <c r="G6" i="22"/>
  <c r="G5" i="22"/>
  <c r="G4" i="22"/>
  <c r="G53" i="21"/>
  <c r="G52" i="21"/>
  <c r="G51" i="21"/>
  <c r="G50" i="21"/>
  <c r="G49" i="21"/>
  <c r="G48" i="21"/>
  <c r="G47" i="21"/>
  <c r="G46" i="21"/>
  <c r="G45" i="21"/>
  <c r="G44" i="21"/>
  <c r="G43" i="21"/>
  <c r="G42" i="21"/>
  <c r="G41" i="21"/>
  <c r="G40" i="21"/>
  <c r="G39" i="21"/>
  <c r="G38" i="21"/>
  <c r="G37" i="21"/>
  <c r="G36" i="21"/>
  <c r="G35" i="21"/>
  <c r="G34" i="21"/>
  <c r="G33" i="21"/>
  <c r="G32" i="21"/>
  <c r="G31" i="21"/>
  <c r="G30" i="21"/>
  <c r="G29" i="21"/>
  <c r="G28" i="21"/>
  <c r="G27" i="21"/>
  <c r="G26" i="21"/>
  <c r="G25" i="21"/>
  <c r="G24" i="21"/>
  <c r="G23" i="21"/>
  <c r="G22" i="21"/>
  <c r="G21" i="21"/>
  <c r="G20" i="21"/>
  <c r="G19" i="21"/>
  <c r="G18" i="21"/>
  <c r="G17" i="21"/>
  <c r="G16" i="21"/>
  <c r="G15" i="21"/>
  <c r="G14" i="21"/>
  <c r="G13" i="21"/>
  <c r="G12" i="21"/>
  <c r="G11" i="21"/>
  <c r="G10" i="21"/>
  <c r="G9" i="21"/>
  <c r="G8" i="21"/>
  <c r="G7" i="21"/>
  <c r="G6" i="21"/>
  <c r="G5" i="21"/>
  <c r="G4" i="21"/>
  <c r="G53" i="34"/>
  <c r="G52" i="34"/>
  <c r="G51" i="34"/>
  <c r="G50" i="34"/>
  <c r="G49" i="34"/>
  <c r="G48" i="34"/>
  <c r="G47" i="34"/>
  <c r="G46" i="34"/>
  <c r="G45" i="34"/>
  <c r="G44" i="34"/>
  <c r="G43" i="34"/>
  <c r="G42" i="34"/>
  <c r="G41" i="34"/>
  <c r="G40" i="34"/>
  <c r="G39" i="34"/>
  <c r="G38" i="34"/>
  <c r="G37" i="34"/>
  <c r="G36" i="34"/>
  <c r="G35" i="34"/>
  <c r="G34" i="34"/>
  <c r="G33" i="34"/>
  <c r="G32" i="34"/>
  <c r="G31" i="34"/>
  <c r="G30" i="34"/>
  <c r="G29" i="34"/>
  <c r="G28" i="34"/>
  <c r="G27" i="34"/>
  <c r="G26" i="34"/>
  <c r="G25" i="34"/>
  <c r="G24" i="34"/>
  <c r="G23" i="34"/>
  <c r="G22" i="34"/>
  <c r="G21" i="34"/>
  <c r="G20" i="34"/>
  <c r="G19" i="34"/>
  <c r="G18" i="34"/>
  <c r="G17" i="34"/>
  <c r="G16" i="34"/>
  <c r="G15" i="34"/>
  <c r="G14" i="34"/>
  <c r="G13" i="34"/>
  <c r="G12" i="34"/>
  <c r="G11" i="34"/>
  <c r="G10" i="34"/>
  <c r="G9" i="34"/>
  <c r="G8" i="34"/>
  <c r="G7" i="34"/>
  <c r="G6" i="34"/>
  <c r="G5" i="34"/>
  <c r="G4" i="34"/>
  <c r="H4" i="21"/>
  <c r="H53" i="22"/>
  <c r="H52" i="22"/>
  <c r="H51" i="22"/>
  <c r="H50" i="22"/>
  <c r="H49" i="22"/>
  <c r="H48" i="22"/>
  <c r="H47" i="22"/>
  <c r="H46" i="22"/>
  <c r="H45" i="22"/>
  <c r="H44" i="22"/>
  <c r="H43" i="22"/>
  <c r="H42" i="22"/>
  <c r="H41" i="22"/>
  <c r="H40" i="22"/>
  <c r="H39" i="22"/>
  <c r="H38" i="22"/>
  <c r="H37" i="22"/>
  <c r="H36" i="22"/>
  <c r="H35" i="22"/>
  <c r="H34" i="22"/>
  <c r="H33" i="22"/>
  <c r="H32" i="22"/>
  <c r="H31" i="22"/>
  <c r="H30" i="22"/>
  <c r="H29" i="22"/>
  <c r="H28" i="22"/>
  <c r="H27" i="22"/>
  <c r="H26" i="22"/>
  <c r="H25" i="22"/>
  <c r="H24" i="22"/>
  <c r="H23" i="22"/>
  <c r="H22" i="22"/>
  <c r="H21" i="22"/>
  <c r="H20" i="22"/>
  <c r="H19" i="22"/>
  <c r="H18" i="22"/>
  <c r="H17" i="22"/>
  <c r="H16" i="22"/>
  <c r="H15" i="22"/>
  <c r="H14" i="22"/>
  <c r="H13" i="22"/>
  <c r="H12" i="22"/>
  <c r="H11" i="22"/>
  <c r="H10" i="22"/>
  <c r="H9" i="22"/>
  <c r="H8" i="22"/>
  <c r="H7" i="22"/>
  <c r="H6" i="22"/>
  <c r="H5" i="22"/>
  <c r="H55" i="22"/>
  <c r="H4" i="22"/>
  <c r="H53" i="25"/>
  <c r="H52" i="25"/>
  <c r="H51" i="25"/>
  <c r="H50" i="25"/>
  <c r="H49" i="25"/>
  <c r="H48" i="25"/>
  <c r="H47" i="25"/>
  <c r="H46" i="25"/>
  <c r="H45" i="25"/>
  <c r="H44" i="25"/>
  <c r="H43" i="25"/>
  <c r="H42" i="25"/>
  <c r="H41" i="25"/>
  <c r="H40" i="25"/>
  <c r="H39" i="25"/>
  <c r="H38" i="25"/>
  <c r="H37" i="25"/>
  <c r="H36" i="25"/>
  <c r="H35" i="25"/>
  <c r="H34" i="25"/>
  <c r="H33" i="25"/>
  <c r="H32" i="25"/>
  <c r="H31" i="25"/>
  <c r="H30" i="25"/>
  <c r="H29" i="25"/>
  <c r="H28" i="25"/>
  <c r="H27" i="25"/>
  <c r="H26" i="25"/>
  <c r="H25" i="25"/>
  <c r="H24" i="25"/>
  <c r="H23" i="25"/>
  <c r="H22" i="25"/>
  <c r="H21" i="25"/>
  <c r="H20" i="25"/>
  <c r="H19" i="25"/>
  <c r="H18" i="25"/>
  <c r="H17" i="25"/>
  <c r="H16" i="25"/>
  <c r="H15" i="25"/>
  <c r="H14" i="25"/>
  <c r="H13" i="25"/>
  <c r="H12" i="25"/>
  <c r="H11" i="25"/>
  <c r="H10" i="25"/>
  <c r="H9" i="25"/>
  <c r="H8" i="25"/>
  <c r="H7" i="25"/>
  <c r="H6" i="25"/>
  <c r="H5" i="25"/>
  <c r="H4" i="25"/>
  <c r="D53" i="9"/>
  <c r="D52" i="9"/>
  <c r="D51" i="9"/>
  <c r="D50" i="9"/>
  <c r="D49" i="9"/>
  <c r="D48" i="9"/>
  <c r="D47" i="9"/>
  <c r="D46" i="9"/>
  <c r="D45" i="9"/>
  <c r="D44" i="9"/>
  <c r="D43"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D8" i="9"/>
  <c r="D7" i="9"/>
  <c r="D6" i="9"/>
  <c r="D5" i="9"/>
  <c r="D4" i="9"/>
  <c r="D55"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7" i="9"/>
  <c r="C6" i="9"/>
  <c r="C5" i="9"/>
  <c r="C4" i="9"/>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H53" i="13"/>
  <c r="H52" i="13"/>
  <c r="H51" i="13"/>
  <c r="H50" i="13"/>
  <c r="H49" i="13"/>
  <c r="H48" i="13"/>
  <c r="H47" i="13"/>
  <c r="H46" i="13"/>
  <c r="H45" i="13"/>
  <c r="H44" i="13"/>
  <c r="H43" i="13"/>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11" i="13"/>
  <c r="H10" i="13"/>
  <c r="H9" i="13"/>
  <c r="H8" i="13"/>
  <c r="H7" i="13"/>
  <c r="H6" i="13"/>
  <c r="H5" i="13"/>
  <c r="H4" i="13"/>
  <c r="O53" i="8"/>
  <c r="P53" i="8"/>
  <c r="O52" i="8"/>
  <c r="P52" i="8"/>
  <c r="O51" i="8"/>
  <c r="P51" i="8"/>
  <c r="O50" i="8"/>
  <c r="P50" i="8"/>
  <c r="I49" i="8"/>
  <c r="O49" i="8"/>
  <c r="P49" i="8"/>
  <c r="O48" i="8"/>
  <c r="P48" i="8"/>
  <c r="O47" i="8"/>
  <c r="P47" i="8"/>
  <c r="O46" i="8"/>
  <c r="P46" i="8"/>
  <c r="O45" i="8"/>
  <c r="P45" i="8"/>
  <c r="O44" i="8"/>
  <c r="P44" i="8"/>
  <c r="O43" i="8"/>
  <c r="P43" i="8"/>
  <c r="O42" i="8"/>
  <c r="P42" i="8"/>
  <c r="O41" i="8"/>
  <c r="P41" i="8"/>
  <c r="I40" i="8"/>
  <c r="O40" i="8"/>
  <c r="K40" i="8"/>
  <c r="P40" i="8"/>
  <c r="O39" i="8"/>
  <c r="P39" i="8"/>
  <c r="O38" i="8"/>
  <c r="P38" i="8"/>
  <c r="O37" i="8"/>
  <c r="P37" i="8"/>
  <c r="O36" i="8"/>
  <c r="P36" i="8"/>
  <c r="I35" i="8"/>
  <c r="O35" i="8"/>
  <c r="P35" i="8"/>
  <c r="O34" i="8"/>
  <c r="K34" i="8"/>
  <c r="P34" i="8"/>
  <c r="O33" i="8"/>
  <c r="P33" i="8"/>
  <c r="O32" i="8"/>
  <c r="P32" i="8"/>
  <c r="O31" i="8"/>
  <c r="P31" i="8"/>
  <c r="O30" i="8"/>
  <c r="P30" i="8"/>
  <c r="O29" i="8"/>
  <c r="P29" i="8"/>
  <c r="O28" i="8"/>
  <c r="P28" i="8"/>
  <c r="O27" i="8"/>
  <c r="P27" i="8"/>
  <c r="O26" i="8"/>
  <c r="P26" i="8"/>
  <c r="O25" i="8"/>
  <c r="P25" i="8"/>
  <c r="O24" i="8"/>
  <c r="P24" i="8"/>
  <c r="O23" i="8"/>
  <c r="P23" i="8"/>
  <c r="O22" i="8"/>
  <c r="P22" i="8"/>
  <c r="O21" i="8"/>
  <c r="P21" i="8"/>
  <c r="O20" i="8"/>
  <c r="P20" i="8"/>
  <c r="O19" i="8"/>
  <c r="P19" i="8"/>
  <c r="O18" i="8"/>
  <c r="P18" i="8"/>
  <c r="O17" i="8"/>
  <c r="P17" i="8"/>
  <c r="O16" i="8"/>
  <c r="P16" i="8"/>
  <c r="O15" i="8"/>
  <c r="P15" i="8"/>
  <c r="O14" i="8"/>
  <c r="P14" i="8"/>
  <c r="O13" i="8"/>
  <c r="P13" i="8"/>
  <c r="O12" i="8"/>
  <c r="P12" i="8"/>
  <c r="O11" i="8"/>
  <c r="P11" i="8"/>
  <c r="O10" i="8"/>
  <c r="P10" i="8"/>
  <c r="O9" i="8"/>
  <c r="P9" i="8"/>
  <c r="O8" i="8"/>
  <c r="P8" i="8"/>
  <c r="O7" i="8"/>
  <c r="J7" i="8"/>
  <c r="P7" i="8"/>
  <c r="O6" i="8"/>
  <c r="P6" i="8"/>
  <c r="O5" i="8"/>
  <c r="P5" i="8"/>
  <c r="O4" i="8"/>
  <c r="P4" i="8"/>
  <c r="O53" i="9"/>
  <c r="O52" i="9"/>
  <c r="O51" i="9"/>
  <c r="O50" i="9"/>
  <c r="O49" i="9"/>
  <c r="O48" i="9"/>
  <c r="O47" i="9"/>
  <c r="O46" i="9"/>
  <c r="O45" i="9"/>
  <c r="O44" i="9"/>
  <c r="O43" i="9"/>
  <c r="O42" i="9"/>
  <c r="O41" i="9"/>
  <c r="O40" i="9"/>
  <c r="O39" i="9"/>
  <c r="O38" i="9"/>
  <c r="O37" i="9"/>
  <c r="O36" i="9"/>
  <c r="O35" i="9"/>
  <c r="O34" i="9"/>
  <c r="O33" i="9"/>
  <c r="O32" i="9"/>
  <c r="O31" i="9"/>
  <c r="O30" i="9"/>
  <c r="O29" i="9"/>
  <c r="O28" i="9"/>
  <c r="O27" i="9"/>
  <c r="O26" i="9"/>
  <c r="O25" i="9"/>
  <c r="O24" i="9"/>
  <c r="O23" i="9"/>
  <c r="O22" i="9"/>
  <c r="O21" i="9"/>
  <c r="O20" i="9"/>
  <c r="O19" i="9"/>
  <c r="O18" i="9"/>
  <c r="O17" i="9"/>
  <c r="O16" i="9"/>
  <c r="O15" i="9"/>
  <c r="O14" i="9"/>
  <c r="O13" i="9"/>
  <c r="O12" i="9"/>
  <c r="O11" i="9"/>
  <c r="O10" i="9"/>
  <c r="O9" i="9"/>
  <c r="O8" i="9"/>
  <c r="O7" i="9"/>
  <c r="O6" i="9"/>
  <c r="O5" i="9"/>
  <c r="O4" i="9"/>
  <c r="F55" i="22"/>
  <c r="AC53" i="10"/>
  <c r="AB53" i="10"/>
  <c r="AA53" i="10"/>
  <c r="Z53" i="10"/>
  <c r="AC52" i="10"/>
  <c r="AB52" i="10"/>
  <c r="AA52" i="10"/>
  <c r="Z52" i="10"/>
  <c r="AC51" i="10"/>
  <c r="AB51" i="10"/>
  <c r="AA51" i="10"/>
  <c r="Z51" i="10"/>
  <c r="AC50" i="10"/>
  <c r="AB50" i="10"/>
  <c r="AA50" i="10"/>
  <c r="Z50" i="10"/>
  <c r="AC49" i="10"/>
  <c r="AB49" i="10"/>
  <c r="AA49" i="10"/>
  <c r="Z49" i="10"/>
  <c r="AC48" i="10"/>
  <c r="AB48" i="10"/>
  <c r="AA48" i="10"/>
  <c r="Z48" i="10"/>
  <c r="AC47" i="10"/>
  <c r="AB47" i="10"/>
  <c r="AA47" i="10"/>
  <c r="Z47" i="10"/>
  <c r="AC46" i="10"/>
  <c r="AB46" i="10"/>
  <c r="AA46" i="10"/>
  <c r="Z46" i="10"/>
  <c r="AC45" i="10"/>
  <c r="AB45" i="10"/>
  <c r="AA45" i="10"/>
  <c r="Z45" i="10"/>
  <c r="AC44" i="10"/>
  <c r="AB44" i="10"/>
  <c r="AA44" i="10"/>
  <c r="Z44" i="10"/>
  <c r="AC43" i="10"/>
  <c r="AB43" i="10"/>
  <c r="AA43" i="10"/>
  <c r="Z43" i="10"/>
  <c r="AC42" i="10"/>
  <c r="AB42" i="10"/>
  <c r="AA42" i="10"/>
  <c r="Z42" i="10"/>
  <c r="AC41" i="10"/>
  <c r="AB41" i="10"/>
  <c r="AA41" i="10"/>
  <c r="Z41" i="10"/>
  <c r="AC40" i="10"/>
  <c r="AB40" i="10"/>
  <c r="AA40" i="10"/>
  <c r="Z40" i="10"/>
  <c r="AC39" i="10"/>
  <c r="AB39" i="10"/>
  <c r="AA39" i="10"/>
  <c r="Z39" i="10"/>
  <c r="AC38" i="10"/>
  <c r="AB38" i="10"/>
  <c r="AA38" i="10"/>
  <c r="Z38" i="10"/>
  <c r="AC37" i="10"/>
  <c r="AB37" i="10"/>
  <c r="AA37" i="10"/>
  <c r="Z37" i="10"/>
  <c r="AC36" i="10"/>
  <c r="AB36" i="10"/>
  <c r="AA36" i="10"/>
  <c r="Z36" i="10"/>
  <c r="AC35" i="10"/>
  <c r="AB35" i="10"/>
  <c r="AA35" i="10"/>
  <c r="Z35" i="10"/>
  <c r="AC34" i="10"/>
  <c r="AB34" i="10"/>
  <c r="AA34" i="10"/>
  <c r="Z34" i="10"/>
  <c r="AC33" i="10"/>
  <c r="AB33" i="10"/>
  <c r="AA33" i="10"/>
  <c r="Z33" i="10"/>
  <c r="AC32" i="10"/>
  <c r="AB32" i="10"/>
  <c r="AA32" i="10"/>
  <c r="Z32" i="10"/>
  <c r="AC31" i="10"/>
  <c r="AB31" i="10"/>
  <c r="AA31" i="10"/>
  <c r="Z31" i="10"/>
  <c r="AC30" i="10"/>
  <c r="AB30" i="10"/>
  <c r="AA30" i="10"/>
  <c r="Z30" i="10"/>
  <c r="AC29" i="10"/>
  <c r="AB29" i="10"/>
  <c r="AA29" i="10"/>
  <c r="Z29" i="10"/>
  <c r="AC28" i="10"/>
  <c r="AB28" i="10"/>
  <c r="AA28" i="10"/>
  <c r="Z28" i="10"/>
  <c r="AC27" i="10"/>
  <c r="AB27" i="10"/>
  <c r="AA27" i="10"/>
  <c r="Z27" i="10"/>
  <c r="AC26" i="10"/>
  <c r="AB26" i="10"/>
  <c r="AA26" i="10"/>
  <c r="Z26" i="10"/>
  <c r="AC25" i="10"/>
  <c r="AB25" i="10"/>
  <c r="AA25" i="10"/>
  <c r="Z25" i="10"/>
  <c r="AC24" i="10"/>
  <c r="AB24" i="10"/>
  <c r="AA24" i="10"/>
  <c r="Z24" i="10"/>
  <c r="AC23" i="10"/>
  <c r="AB23" i="10"/>
  <c r="AA23" i="10"/>
  <c r="Z23" i="10"/>
  <c r="AC22" i="10"/>
  <c r="AB22" i="10"/>
  <c r="AA22" i="10"/>
  <c r="Z22" i="10"/>
  <c r="AC21" i="10"/>
  <c r="AB21" i="10"/>
  <c r="AA21" i="10"/>
  <c r="Z21" i="10"/>
  <c r="AC20" i="10"/>
  <c r="AB20" i="10"/>
  <c r="AA20" i="10"/>
  <c r="Z20" i="10"/>
  <c r="AC19" i="10"/>
  <c r="AB19" i="10"/>
  <c r="AA19" i="10"/>
  <c r="Z19" i="10"/>
  <c r="AC18" i="10"/>
  <c r="AB18" i="10"/>
  <c r="AA18" i="10"/>
  <c r="Z18" i="10"/>
  <c r="AC17" i="10"/>
  <c r="AB17" i="10"/>
  <c r="AA17" i="10"/>
  <c r="Z17" i="10"/>
  <c r="AC16" i="10"/>
  <c r="AB16" i="10"/>
  <c r="AA16" i="10"/>
  <c r="Z16" i="10"/>
  <c r="AC15" i="10"/>
  <c r="AB15" i="10"/>
  <c r="AA15" i="10"/>
  <c r="Z15" i="10"/>
  <c r="AC14" i="10"/>
  <c r="AB14" i="10"/>
  <c r="AA14" i="10"/>
  <c r="Z14" i="10"/>
  <c r="AC13" i="10"/>
  <c r="AB13" i="10"/>
  <c r="AA13" i="10"/>
  <c r="Z13" i="10"/>
  <c r="AC12" i="10"/>
  <c r="AB12" i="10"/>
  <c r="AA12" i="10"/>
  <c r="Z12" i="10"/>
  <c r="AC11" i="10"/>
  <c r="AB11" i="10"/>
  <c r="AA11" i="10"/>
  <c r="Z11" i="10"/>
  <c r="AC10" i="10"/>
  <c r="AB10" i="10"/>
  <c r="AA10" i="10"/>
  <c r="Z10" i="10"/>
  <c r="AC9" i="10"/>
  <c r="AB9" i="10"/>
  <c r="AA9" i="10"/>
  <c r="Z9" i="10"/>
  <c r="AC8" i="10"/>
  <c r="AB8" i="10"/>
  <c r="AA8" i="10"/>
  <c r="Z8" i="10"/>
  <c r="AC7" i="10"/>
  <c r="AB7" i="10"/>
  <c r="AA7" i="10"/>
  <c r="Z7" i="10"/>
  <c r="AC6" i="10"/>
  <c r="AB6" i="10"/>
  <c r="AA6" i="10"/>
  <c r="Z6" i="10"/>
  <c r="AC5" i="10"/>
  <c r="AB5" i="10"/>
  <c r="AA5" i="10"/>
  <c r="Z5" i="10"/>
  <c r="AC4" i="10"/>
  <c r="AB4" i="10"/>
  <c r="AA4" i="10"/>
  <c r="Z4" i="10"/>
  <c r="M53" i="29"/>
  <c r="L53" i="29"/>
  <c r="N53" i="29"/>
  <c r="P53" i="29"/>
  <c r="M52" i="29"/>
  <c r="L52" i="29"/>
  <c r="N52" i="29"/>
  <c r="P52" i="29"/>
  <c r="M51" i="29"/>
  <c r="L51" i="29"/>
  <c r="N51" i="29"/>
  <c r="P51" i="29"/>
  <c r="M50" i="29"/>
  <c r="L50" i="29"/>
  <c r="N50" i="29"/>
  <c r="P50" i="29"/>
  <c r="M49" i="29"/>
  <c r="L49" i="29"/>
  <c r="N49" i="29"/>
  <c r="P49" i="29"/>
  <c r="M48" i="29"/>
  <c r="L48" i="29"/>
  <c r="N48" i="29"/>
  <c r="P48" i="29"/>
  <c r="M47" i="29"/>
  <c r="L47" i="29"/>
  <c r="N47" i="29"/>
  <c r="P47" i="29"/>
  <c r="M46" i="29"/>
  <c r="L46" i="29"/>
  <c r="N46" i="29"/>
  <c r="P46" i="29"/>
  <c r="M45" i="29"/>
  <c r="L45" i="29"/>
  <c r="N45" i="29"/>
  <c r="P45" i="29"/>
  <c r="M44" i="29"/>
  <c r="L44" i="29"/>
  <c r="N44" i="29"/>
  <c r="P44" i="29"/>
  <c r="M43" i="29"/>
  <c r="L43" i="29"/>
  <c r="N43" i="29"/>
  <c r="P43" i="29"/>
  <c r="M42" i="29"/>
  <c r="L42" i="29"/>
  <c r="N42" i="29"/>
  <c r="P42" i="29"/>
  <c r="M41" i="29"/>
  <c r="L41" i="29"/>
  <c r="N41" i="29"/>
  <c r="P41" i="29"/>
  <c r="M40" i="29"/>
  <c r="L40" i="29"/>
  <c r="N40" i="29"/>
  <c r="P40" i="29"/>
  <c r="M39" i="29"/>
  <c r="L39" i="29"/>
  <c r="N39" i="29"/>
  <c r="P39" i="29"/>
  <c r="M38" i="29"/>
  <c r="L38" i="29"/>
  <c r="N38" i="29"/>
  <c r="P38" i="29"/>
  <c r="M37" i="29"/>
  <c r="L37" i="29"/>
  <c r="N37" i="29"/>
  <c r="P37" i="29"/>
  <c r="M36" i="29"/>
  <c r="L36" i="29"/>
  <c r="N36" i="29"/>
  <c r="P36" i="29"/>
  <c r="M35" i="29"/>
  <c r="L35" i="29"/>
  <c r="N35" i="29"/>
  <c r="P35" i="29"/>
  <c r="M34" i="29"/>
  <c r="L34" i="29"/>
  <c r="N34" i="29"/>
  <c r="P34" i="29"/>
  <c r="M33" i="29"/>
  <c r="L33" i="29"/>
  <c r="N33" i="29"/>
  <c r="P33" i="29"/>
  <c r="M32" i="29"/>
  <c r="L32" i="29"/>
  <c r="N32" i="29"/>
  <c r="P32" i="29"/>
  <c r="M31" i="29"/>
  <c r="L31" i="29"/>
  <c r="N31" i="29"/>
  <c r="P31" i="29"/>
  <c r="M30" i="29"/>
  <c r="L30" i="29"/>
  <c r="N30" i="29"/>
  <c r="P30" i="29"/>
  <c r="M29" i="29"/>
  <c r="L29" i="29"/>
  <c r="N29" i="29"/>
  <c r="P29" i="29"/>
  <c r="M28" i="29"/>
  <c r="L28" i="29"/>
  <c r="N28" i="29"/>
  <c r="P28" i="29"/>
  <c r="M27" i="29"/>
  <c r="L27" i="29"/>
  <c r="N27" i="29"/>
  <c r="P27" i="29"/>
  <c r="M26" i="29"/>
  <c r="L26" i="29"/>
  <c r="N26" i="29"/>
  <c r="P26" i="29"/>
  <c r="M25" i="29"/>
  <c r="L25" i="29"/>
  <c r="N25" i="29"/>
  <c r="P25" i="29"/>
  <c r="M24" i="29"/>
  <c r="L24" i="29"/>
  <c r="N24" i="29"/>
  <c r="P24" i="29"/>
  <c r="M23" i="29"/>
  <c r="L23" i="29"/>
  <c r="N23" i="29"/>
  <c r="P23" i="29"/>
  <c r="M22" i="29"/>
  <c r="L22" i="29"/>
  <c r="N22" i="29"/>
  <c r="P22" i="29"/>
  <c r="M21" i="29"/>
  <c r="L21" i="29"/>
  <c r="N21" i="29"/>
  <c r="P21" i="29"/>
  <c r="M20" i="29"/>
  <c r="L20" i="29"/>
  <c r="N20" i="29"/>
  <c r="P20" i="29"/>
  <c r="M19" i="29"/>
  <c r="L19" i="29"/>
  <c r="N19" i="29"/>
  <c r="P19" i="29"/>
  <c r="M18" i="29"/>
  <c r="L18" i="29"/>
  <c r="N18" i="29"/>
  <c r="P18" i="29"/>
  <c r="M17" i="29"/>
  <c r="L17" i="29"/>
  <c r="N17" i="29"/>
  <c r="P17" i="29"/>
  <c r="M16" i="29"/>
  <c r="L16" i="29"/>
  <c r="N16" i="29"/>
  <c r="P16" i="29"/>
  <c r="F58" i="10"/>
  <c r="B58" i="10"/>
  <c r="F59" i="10"/>
  <c r="F15" i="10"/>
  <c r="G58" i="10"/>
  <c r="G59" i="10"/>
  <c r="G15" i="10"/>
  <c r="M15" i="29"/>
  <c r="C58" i="10"/>
  <c r="C59" i="10"/>
  <c r="C15" i="10"/>
  <c r="D58" i="10"/>
  <c r="D59" i="10"/>
  <c r="D15" i="10"/>
  <c r="E58" i="10"/>
  <c r="E59" i="10"/>
  <c r="E15" i="10"/>
  <c r="L15" i="29"/>
  <c r="N15" i="29"/>
  <c r="P15" i="29"/>
  <c r="M14" i="29"/>
  <c r="L14" i="29"/>
  <c r="N14" i="29"/>
  <c r="P14" i="29"/>
  <c r="M13" i="29"/>
  <c r="L13" i="29"/>
  <c r="N13" i="29"/>
  <c r="P13" i="29"/>
  <c r="M12" i="29"/>
  <c r="L12" i="29"/>
  <c r="N12" i="29"/>
  <c r="P12" i="29"/>
  <c r="M11" i="29"/>
  <c r="L11" i="29"/>
  <c r="N11" i="29"/>
  <c r="P11" i="29"/>
  <c r="M10" i="29"/>
  <c r="L10" i="29"/>
  <c r="N10" i="29"/>
  <c r="P10" i="29"/>
  <c r="M9" i="29"/>
  <c r="L9" i="29"/>
  <c r="N9" i="29"/>
  <c r="P9" i="29"/>
  <c r="M8" i="29"/>
  <c r="L8" i="29"/>
  <c r="N8" i="29"/>
  <c r="P8" i="29"/>
  <c r="M7" i="29"/>
  <c r="L7" i="29"/>
  <c r="N7" i="29"/>
  <c r="P7" i="29"/>
  <c r="M6" i="29"/>
  <c r="L6" i="29"/>
  <c r="N6" i="29"/>
  <c r="P6" i="29"/>
  <c r="M5" i="29"/>
  <c r="L5" i="29"/>
  <c r="N5" i="29"/>
  <c r="P5" i="29"/>
  <c r="M4" i="29"/>
  <c r="L4" i="29"/>
  <c r="N4" i="29"/>
  <c r="P4" i="29"/>
  <c r="O53" i="29"/>
  <c r="O52" i="29"/>
  <c r="O51" i="29"/>
  <c r="O50" i="29"/>
  <c r="O49" i="29"/>
  <c r="O48" i="29"/>
  <c r="O47" i="29"/>
  <c r="O46" i="29"/>
  <c r="O45" i="29"/>
  <c r="O44" i="29"/>
  <c r="O43" i="29"/>
  <c r="O42" i="29"/>
  <c r="O41" i="29"/>
  <c r="O40" i="29"/>
  <c r="O39" i="29"/>
  <c r="O38" i="29"/>
  <c r="O37" i="29"/>
  <c r="O36" i="29"/>
  <c r="O35" i="29"/>
  <c r="O34" i="29"/>
  <c r="O33" i="29"/>
  <c r="O32" i="29"/>
  <c r="O31" i="29"/>
  <c r="O30" i="29"/>
  <c r="O29" i="29"/>
  <c r="O28" i="29"/>
  <c r="O27" i="29"/>
  <c r="O26" i="29"/>
  <c r="O25" i="29"/>
  <c r="O24" i="29"/>
  <c r="O23" i="29"/>
  <c r="O22" i="29"/>
  <c r="O21" i="29"/>
  <c r="O20" i="29"/>
  <c r="O19" i="29"/>
  <c r="O18" i="29"/>
  <c r="O17" i="29"/>
  <c r="O16" i="29"/>
  <c r="O15" i="29"/>
  <c r="O14" i="29"/>
  <c r="O13" i="29"/>
  <c r="O12" i="29"/>
  <c r="O11" i="29"/>
  <c r="O10" i="29"/>
  <c r="O9" i="29"/>
  <c r="O8" i="29"/>
  <c r="O7" i="29"/>
  <c r="O6" i="29"/>
  <c r="O5" i="29"/>
  <c r="O4" i="29"/>
  <c r="C55" i="34"/>
  <c r="B55" i="34"/>
  <c r="K55" i="3"/>
  <c r="J55" i="3"/>
  <c r="I55" i="3"/>
  <c r="G55" i="3"/>
  <c r="F55" i="3"/>
  <c r="E55" i="3"/>
  <c r="D55" i="3"/>
  <c r="V53" i="10"/>
  <c r="W53" i="10"/>
  <c r="X53" i="10"/>
  <c r="F52" i="1"/>
  <c r="V52" i="10"/>
  <c r="W52" i="10"/>
  <c r="X52" i="10"/>
  <c r="F51" i="1"/>
  <c r="V51" i="10"/>
  <c r="W51" i="10"/>
  <c r="X51" i="10"/>
  <c r="F50" i="1"/>
  <c r="V50" i="10"/>
  <c r="W50" i="10"/>
  <c r="X50" i="10"/>
  <c r="F49" i="1"/>
  <c r="V49" i="10"/>
  <c r="W49" i="10"/>
  <c r="X49" i="10"/>
  <c r="F48" i="1"/>
  <c r="V48" i="10"/>
  <c r="W48" i="10"/>
  <c r="X48" i="10"/>
  <c r="V47" i="10"/>
  <c r="W47" i="10"/>
  <c r="X47" i="10"/>
  <c r="F46" i="1"/>
  <c r="V46" i="10"/>
  <c r="W46" i="10"/>
  <c r="X46" i="10"/>
  <c r="F45" i="1"/>
  <c r="V45" i="10"/>
  <c r="W45" i="10"/>
  <c r="X45" i="10"/>
  <c r="V44" i="10"/>
  <c r="W44" i="10"/>
  <c r="X44" i="10"/>
  <c r="F43" i="1"/>
  <c r="V43" i="10"/>
  <c r="W43" i="10"/>
  <c r="X43" i="10"/>
  <c r="F42" i="1"/>
  <c r="V42" i="10"/>
  <c r="W42" i="10"/>
  <c r="X42" i="10"/>
  <c r="F41" i="1"/>
  <c r="V41" i="10"/>
  <c r="W41" i="10"/>
  <c r="X41" i="10"/>
  <c r="F40" i="1"/>
  <c r="V40" i="10"/>
  <c r="W40" i="10"/>
  <c r="X40" i="10"/>
  <c r="F39" i="1"/>
  <c r="V39" i="10"/>
  <c r="W39" i="10"/>
  <c r="X39" i="10"/>
  <c r="F38" i="1"/>
  <c r="V38" i="10"/>
  <c r="W38" i="10"/>
  <c r="X38" i="10"/>
  <c r="V37" i="10"/>
  <c r="W37" i="10"/>
  <c r="X37" i="10"/>
  <c r="F36" i="1"/>
  <c r="V36" i="10"/>
  <c r="W36" i="10"/>
  <c r="X36" i="10"/>
  <c r="F35" i="1"/>
  <c r="V35" i="10"/>
  <c r="W35" i="10"/>
  <c r="X35" i="10"/>
  <c r="F34" i="1"/>
  <c r="V34" i="10"/>
  <c r="W34" i="10"/>
  <c r="X34" i="10"/>
  <c r="F33" i="1"/>
  <c r="V33" i="10"/>
  <c r="W33" i="10"/>
  <c r="X33" i="10"/>
  <c r="V32" i="10"/>
  <c r="W32" i="10"/>
  <c r="X32" i="10"/>
  <c r="F31" i="1"/>
  <c r="V31" i="10"/>
  <c r="W31" i="10"/>
  <c r="X31" i="10"/>
  <c r="F30" i="1"/>
  <c r="V30" i="10"/>
  <c r="W30" i="10"/>
  <c r="X30" i="10"/>
  <c r="V29" i="10"/>
  <c r="W29" i="10"/>
  <c r="X29" i="10"/>
  <c r="F28" i="1"/>
  <c r="V28" i="10"/>
  <c r="W28" i="10"/>
  <c r="X28" i="10"/>
  <c r="V27" i="10"/>
  <c r="W27" i="10"/>
  <c r="X27" i="10"/>
  <c r="F26" i="1"/>
  <c r="V26" i="10"/>
  <c r="W26" i="10"/>
  <c r="X26" i="10"/>
  <c r="F25" i="1"/>
  <c r="V25" i="10"/>
  <c r="W25" i="10"/>
  <c r="X25" i="10"/>
  <c r="F24" i="1"/>
  <c r="V24" i="10"/>
  <c r="W24" i="10"/>
  <c r="X24" i="10"/>
  <c r="F23" i="1"/>
  <c r="V23" i="10"/>
  <c r="W23" i="10"/>
  <c r="X23" i="10"/>
  <c r="F22" i="1"/>
  <c r="V22" i="10"/>
  <c r="W22" i="10"/>
  <c r="X22" i="10"/>
  <c r="F21" i="1"/>
  <c r="V21" i="10"/>
  <c r="W21" i="10"/>
  <c r="X21" i="10"/>
  <c r="F20" i="1"/>
  <c r="V20" i="10"/>
  <c r="W20" i="10"/>
  <c r="X20" i="10"/>
  <c r="F19" i="1"/>
  <c r="V19" i="10"/>
  <c r="W19" i="10"/>
  <c r="X19" i="10"/>
  <c r="F18" i="1"/>
  <c r="V18" i="10"/>
  <c r="W18" i="10"/>
  <c r="X18" i="10"/>
  <c r="V17" i="10"/>
  <c r="W17" i="10"/>
  <c r="X17" i="10"/>
  <c r="F16" i="1"/>
  <c r="V16" i="10"/>
  <c r="W16" i="10"/>
  <c r="X16" i="10"/>
  <c r="H58" i="10"/>
  <c r="H59" i="10"/>
  <c r="H15" i="10"/>
  <c r="I58" i="10"/>
  <c r="I59" i="10"/>
  <c r="I15" i="10"/>
  <c r="J58" i="10"/>
  <c r="J59" i="10"/>
  <c r="J15" i="10"/>
  <c r="K58" i="10"/>
  <c r="K59" i="10"/>
  <c r="K15" i="10"/>
  <c r="L58" i="10"/>
  <c r="L59" i="10"/>
  <c r="L15" i="10"/>
  <c r="M58" i="10"/>
  <c r="M59" i="10"/>
  <c r="M15" i="10"/>
  <c r="N58" i="10"/>
  <c r="N59" i="10"/>
  <c r="N15" i="10"/>
  <c r="V15" i="10"/>
  <c r="O58" i="10"/>
  <c r="O59" i="10"/>
  <c r="O15" i="10"/>
  <c r="P58" i="10"/>
  <c r="P59" i="10"/>
  <c r="P15" i="10"/>
  <c r="Q58" i="10"/>
  <c r="Q59" i="10"/>
  <c r="Q15" i="10"/>
  <c r="R58" i="10"/>
  <c r="R59" i="10"/>
  <c r="R15" i="10"/>
  <c r="S58" i="10"/>
  <c r="S59" i="10"/>
  <c r="S15" i="10"/>
  <c r="T58" i="10"/>
  <c r="T59" i="10"/>
  <c r="T15" i="10"/>
  <c r="W15" i="10"/>
  <c r="X15" i="10"/>
  <c r="V14" i="10"/>
  <c r="W14" i="10"/>
  <c r="X14" i="10"/>
  <c r="F13" i="1"/>
  <c r="V13" i="10"/>
  <c r="W13" i="10"/>
  <c r="X13" i="10"/>
  <c r="F12" i="1"/>
  <c r="V12" i="10"/>
  <c r="W12" i="10"/>
  <c r="X12" i="10"/>
  <c r="F11" i="1"/>
  <c r="V11" i="10"/>
  <c r="W11" i="10"/>
  <c r="X11" i="10"/>
  <c r="F10" i="1"/>
  <c r="V10" i="10"/>
  <c r="W10" i="10"/>
  <c r="X10" i="10"/>
  <c r="F9" i="1"/>
  <c r="V9" i="10"/>
  <c r="W9" i="10"/>
  <c r="X9" i="10"/>
  <c r="F8" i="1"/>
  <c r="V8" i="10"/>
  <c r="W8" i="10"/>
  <c r="X8" i="10"/>
  <c r="F7" i="1"/>
  <c r="V7" i="10"/>
  <c r="W7" i="10"/>
  <c r="X7" i="10"/>
  <c r="F6" i="1"/>
  <c r="V6" i="10"/>
  <c r="W6" i="10"/>
  <c r="X6" i="10"/>
  <c r="F5" i="1"/>
  <c r="V5" i="10"/>
  <c r="W5" i="10"/>
  <c r="X5" i="10"/>
  <c r="F4" i="1"/>
  <c r="W4" i="10"/>
  <c r="V4" i="10"/>
  <c r="X4" i="10"/>
  <c r="X55" i="10"/>
  <c r="W55" i="10"/>
  <c r="V55" i="10"/>
  <c r="C41" i="26"/>
  <c r="C35" i="26"/>
  <c r="C46" i="26"/>
  <c r="C16" i="26"/>
  <c r="B46" i="26"/>
  <c r="B41" i="26"/>
  <c r="B35" i="26"/>
  <c r="B16" i="26"/>
  <c r="K4" i="9"/>
  <c r="K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D53" i="32"/>
  <c r="D52" i="32"/>
  <c r="D51" i="32"/>
  <c r="D50" i="32"/>
  <c r="D49" i="32"/>
  <c r="D48" i="32"/>
  <c r="D47" i="32"/>
  <c r="D46" i="32"/>
  <c r="D45" i="32"/>
  <c r="D44" i="32"/>
  <c r="D43" i="32"/>
  <c r="D42" i="32"/>
  <c r="D41" i="32"/>
  <c r="D40" i="32"/>
  <c r="D39" i="32"/>
  <c r="D38" i="32"/>
  <c r="D37" i="32"/>
  <c r="D36" i="32"/>
  <c r="D35" i="32"/>
  <c r="D34" i="32"/>
  <c r="D33" i="32"/>
  <c r="D32" i="32"/>
  <c r="D31" i="32"/>
  <c r="D30" i="32"/>
  <c r="D29" i="32"/>
  <c r="D28" i="32"/>
  <c r="D27" i="32"/>
  <c r="D26" i="32"/>
  <c r="D25" i="32"/>
  <c r="D24" i="32"/>
  <c r="D23" i="32"/>
  <c r="D22" i="32"/>
  <c r="D21" i="32"/>
  <c r="D20" i="32"/>
  <c r="D19" i="32"/>
  <c r="D18" i="32"/>
  <c r="D17" i="32"/>
  <c r="D16" i="32"/>
  <c r="D15" i="32"/>
  <c r="D14" i="32"/>
  <c r="D13" i="32"/>
  <c r="D12" i="32"/>
  <c r="D11" i="32"/>
  <c r="D10" i="32"/>
  <c r="D9" i="32"/>
  <c r="D8" i="32"/>
  <c r="D7" i="32"/>
  <c r="D6" i="32"/>
  <c r="D5" i="32"/>
  <c r="D4" i="32"/>
  <c r="D55" i="32"/>
  <c r="C55" i="32"/>
  <c r="B55" i="32"/>
  <c r="D4" i="1"/>
  <c r="B4" i="9"/>
  <c r="D5" i="1"/>
  <c r="B5" i="9"/>
  <c r="D6" i="1"/>
  <c r="B6" i="9"/>
  <c r="D7" i="1"/>
  <c r="B7" i="9"/>
  <c r="D8" i="1"/>
  <c r="B8" i="9"/>
  <c r="D9" i="1"/>
  <c r="B9" i="9"/>
  <c r="D10" i="1"/>
  <c r="B10" i="9"/>
  <c r="D11" i="1"/>
  <c r="B11" i="9"/>
  <c r="D12" i="1"/>
  <c r="B12" i="9"/>
  <c r="D13" i="1"/>
  <c r="B13" i="9"/>
  <c r="D14" i="1"/>
  <c r="B14" i="9"/>
  <c r="D15" i="1"/>
  <c r="B15" i="9"/>
  <c r="D16" i="1"/>
  <c r="B16" i="9"/>
  <c r="D17" i="1"/>
  <c r="B17" i="9"/>
  <c r="D18" i="1"/>
  <c r="B18" i="9"/>
  <c r="D19" i="1"/>
  <c r="B19" i="9"/>
  <c r="D20" i="1"/>
  <c r="B20" i="9"/>
  <c r="D21" i="1"/>
  <c r="B21" i="9"/>
  <c r="D22" i="1"/>
  <c r="B22" i="9"/>
  <c r="D23" i="1"/>
  <c r="B23" i="9"/>
  <c r="D24" i="1"/>
  <c r="B24" i="9"/>
  <c r="D25" i="1"/>
  <c r="B25" i="9"/>
  <c r="D26" i="1"/>
  <c r="B26" i="9"/>
  <c r="D27" i="1"/>
  <c r="B27" i="9"/>
  <c r="D28" i="1"/>
  <c r="B28" i="9"/>
  <c r="D29" i="1"/>
  <c r="B29" i="9"/>
  <c r="D30" i="1"/>
  <c r="B30" i="9"/>
  <c r="D31" i="1"/>
  <c r="B31" i="9"/>
  <c r="D32" i="1"/>
  <c r="B32" i="9"/>
  <c r="D33" i="1"/>
  <c r="B33" i="9"/>
  <c r="D34" i="1"/>
  <c r="B34" i="9"/>
  <c r="D35" i="1"/>
  <c r="B35" i="9"/>
  <c r="D36" i="1"/>
  <c r="B36" i="9"/>
  <c r="D37" i="1"/>
  <c r="B37" i="9"/>
  <c r="D38" i="1"/>
  <c r="B38" i="9"/>
  <c r="D39" i="1"/>
  <c r="B39" i="9"/>
  <c r="D40" i="1"/>
  <c r="B40" i="9"/>
  <c r="D41" i="1"/>
  <c r="B41" i="9"/>
  <c r="D42" i="1"/>
  <c r="B42" i="9"/>
  <c r="D43" i="1"/>
  <c r="B43" i="9"/>
  <c r="D44" i="1"/>
  <c r="B44" i="9"/>
  <c r="D45" i="1"/>
  <c r="B45" i="9"/>
  <c r="D46" i="1"/>
  <c r="B46" i="9"/>
  <c r="D47" i="1"/>
  <c r="B47" i="9"/>
  <c r="D48" i="1"/>
  <c r="B48" i="9"/>
  <c r="D49" i="1"/>
  <c r="B49" i="9"/>
  <c r="D50" i="1"/>
  <c r="B50" i="9"/>
  <c r="D51" i="1"/>
  <c r="B51" i="9"/>
  <c r="D52" i="1"/>
  <c r="B52" i="9"/>
  <c r="D53" i="1"/>
  <c r="B53" i="9"/>
  <c r="G55" i="1"/>
  <c r="F55" i="1"/>
  <c r="E55" i="1"/>
  <c r="E55" i="17"/>
  <c r="E63" i="17"/>
  <c r="G4" i="17"/>
  <c r="G5" i="17"/>
  <c r="G6" i="17"/>
  <c r="G7" i="17"/>
  <c r="G8" i="17"/>
  <c r="G9" i="17"/>
  <c r="G10" i="17"/>
  <c r="G11" i="17"/>
  <c r="G12" i="17"/>
  <c r="G13" i="17"/>
  <c r="G14" i="17"/>
  <c r="G15" i="17"/>
  <c r="G16" i="17"/>
  <c r="G17" i="17"/>
  <c r="G18" i="17"/>
  <c r="G19" i="17"/>
  <c r="G20" i="17"/>
  <c r="G21" i="17"/>
  <c r="G22" i="17"/>
  <c r="G23" i="17"/>
  <c r="G24" i="17"/>
  <c r="G25" i="17"/>
  <c r="G26" i="17"/>
  <c r="G27" i="17"/>
  <c r="G28" i="17"/>
  <c r="G29" i="17"/>
  <c r="G30" i="17"/>
  <c r="G31" i="17"/>
  <c r="G32" i="17"/>
  <c r="G33" i="17"/>
  <c r="G34" i="17"/>
  <c r="G35" i="17"/>
  <c r="G36" i="17"/>
  <c r="G37" i="17"/>
  <c r="G38" i="17"/>
  <c r="G39" i="17"/>
  <c r="G40" i="17"/>
  <c r="G41" i="17"/>
  <c r="G42" i="17"/>
  <c r="G43" i="17"/>
  <c r="G44" i="17"/>
  <c r="G45" i="17"/>
  <c r="G46" i="17"/>
  <c r="G47" i="17"/>
  <c r="G48" i="17"/>
  <c r="G49" i="17"/>
  <c r="G50" i="17"/>
  <c r="G51" i="17"/>
  <c r="G52" i="17"/>
  <c r="G53" i="17"/>
  <c r="G55" i="17"/>
  <c r="F55" i="17"/>
  <c r="D55" i="17"/>
  <c r="C55" i="17"/>
  <c r="B55" i="17"/>
  <c r="E4" i="12"/>
  <c r="E5" i="12"/>
  <c r="E6" i="12"/>
  <c r="E7" i="12"/>
  <c r="E8" i="12"/>
  <c r="E9" i="12"/>
  <c r="E10"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E50" i="12"/>
  <c r="E51" i="12"/>
  <c r="E52" i="12"/>
  <c r="E53" i="12"/>
  <c r="E54" i="12"/>
  <c r="E55" i="12"/>
  <c r="B55" i="3"/>
  <c r="E57" i="26"/>
  <c r="E4" i="26"/>
  <c r="E5" i="26"/>
  <c r="E6" i="26"/>
  <c r="E7" i="26"/>
  <c r="E8" i="26"/>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5" i="26"/>
  <c r="D4" i="28"/>
  <c r="D5" i="28"/>
  <c r="D6" i="28"/>
  <c r="D7" i="28"/>
  <c r="D8" i="28"/>
  <c r="D9" i="28"/>
  <c r="D10" i="28"/>
  <c r="D11" i="28"/>
  <c r="D12" i="28"/>
  <c r="D13" i="28"/>
  <c r="D14" i="28"/>
  <c r="D15" i="28"/>
  <c r="D16" i="28"/>
  <c r="D17" i="28"/>
  <c r="D18" i="28"/>
  <c r="D19" i="28"/>
  <c r="D20" i="28"/>
  <c r="D21" i="28"/>
  <c r="D22" i="28"/>
  <c r="D23" i="28"/>
  <c r="D24" i="28"/>
  <c r="D25" i="28"/>
  <c r="D26" i="28"/>
  <c r="D27" i="28"/>
  <c r="D28" i="28"/>
  <c r="D29" i="28"/>
  <c r="D30" i="28"/>
  <c r="D31" i="28"/>
  <c r="D32" i="28"/>
  <c r="D33" i="28"/>
  <c r="D34" i="28"/>
  <c r="D35" i="28"/>
  <c r="D36" i="28"/>
  <c r="D37" i="28"/>
  <c r="D38" i="28"/>
  <c r="D39" i="28"/>
  <c r="D40" i="28"/>
  <c r="D41" i="28"/>
  <c r="D42" i="28"/>
  <c r="D43" i="28"/>
  <c r="D44" i="28"/>
  <c r="D45" i="28"/>
  <c r="D46" i="28"/>
  <c r="D47" i="28"/>
  <c r="D48" i="28"/>
  <c r="D49" i="28"/>
  <c r="D50" i="28"/>
  <c r="D51" i="28"/>
  <c r="D52" i="28"/>
  <c r="D53" i="28"/>
  <c r="D55" i="28"/>
  <c r="D55" i="1"/>
  <c r="C55" i="1"/>
  <c r="B55" i="1"/>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5" i="13"/>
  <c r="D55" i="13"/>
  <c r="C55" i="13"/>
  <c r="B55" i="13"/>
  <c r="D4" i="6"/>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5" i="6"/>
  <c r="B55" i="6"/>
  <c r="E59" i="20"/>
  <c r="C59" i="20"/>
  <c r="B59" i="20"/>
  <c r="D4" i="20"/>
  <c r="F4" i="20"/>
  <c r="G4" i="20"/>
  <c r="H4" i="20"/>
  <c r="D5" i="20"/>
  <c r="F5" i="20"/>
  <c r="G5" i="20"/>
  <c r="H5" i="20"/>
  <c r="D6" i="20"/>
  <c r="F6" i="20"/>
  <c r="G6" i="20"/>
  <c r="H6" i="20"/>
  <c r="D7" i="20"/>
  <c r="F7" i="20"/>
  <c r="G7" i="20"/>
  <c r="H7" i="20"/>
  <c r="D8" i="20"/>
  <c r="F8" i="20"/>
  <c r="G8" i="20"/>
  <c r="H8" i="20"/>
  <c r="D9" i="20"/>
  <c r="F9" i="20"/>
  <c r="G9" i="20"/>
  <c r="H9" i="20"/>
  <c r="D10" i="20"/>
  <c r="F10" i="20"/>
  <c r="G10" i="20"/>
  <c r="H10" i="20"/>
  <c r="D12" i="20"/>
  <c r="F12" i="20"/>
  <c r="G12" i="20"/>
  <c r="H12" i="20"/>
  <c r="D13" i="20"/>
  <c r="F13" i="20"/>
  <c r="G13" i="20"/>
  <c r="H13" i="20"/>
  <c r="D14" i="20"/>
  <c r="F14" i="20"/>
  <c r="G14" i="20"/>
  <c r="H14" i="20"/>
  <c r="D15" i="20"/>
  <c r="F15" i="20"/>
  <c r="G15" i="20"/>
  <c r="H15" i="20"/>
  <c r="D16" i="20"/>
  <c r="F16" i="20"/>
  <c r="G16" i="20"/>
  <c r="H16" i="20"/>
  <c r="D17" i="20"/>
  <c r="F17" i="20"/>
  <c r="G17" i="20"/>
  <c r="H17" i="20"/>
  <c r="D18" i="20"/>
  <c r="F18" i="20"/>
  <c r="G18" i="20"/>
  <c r="H18" i="20"/>
  <c r="D19" i="20"/>
  <c r="F19" i="20"/>
  <c r="G19" i="20"/>
  <c r="H19" i="20"/>
  <c r="D20" i="20"/>
  <c r="F20" i="20"/>
  <c r="G20" i="20"/>
  <c r="H20" i="20"/>
  <c r="D21" i="20"/>
  <c r="F21" i="20"/>
  <c r="G21" i="20"/>
  <c r="H21" i="20"/>
  <c r="D22" i="20"/>
  <c r="F22" i="20"/>
  <c r="G22" i="20"/>
  <c r="H22" i="20"/>
  <c r="D23" i="20"/>
  <c r="F23" i="20"/>
  <c r="G23" i="20"/>
  <c r="H23" i="20"/>
  <c r="D24" i="20"/>
  <c r="F24" i="20"/>
  <c r="G24" i="20"/>
  <c r="H24" i="20"/>
  <c r="D25" i="20"/>
  <c r="F25" i="20"/>
  <c r="G25" i="20"/>
  <c r="H25" i="20"/>
  <c r="D26" i="20"/>
  <c r="F26" i="20"/>
  <c r="G26" i="20"/>
  <c r="H26" i="20"/>
  <c r="D27" i="20"/>
  <c r="F27" i="20"/>
  <c r="G27" i="20"/>
  <c r="H27" i="20"/>
  <c r="D28" i="20"/>
  <c r="F28" i="20"/>
  <c r="G28" i="20"/>
  <c r="H28" i="20"/>
  <c r="D29" i="20"/>
  <c r="F29" i="20"/>
  <c r="G29" i="20"/>
  <c r="H29" i="20"/>
  <c r="D30" i="20"/>
  <c r="F30" i="20"/>
  <c r="G30" i="20"/>
  <c r="H30" i="20"/>
  <c r="D31" i="20"/>
  <c r="F31" i="20"/>
  <c r="G31" i="20"/>
  <c r="H31" i="20"/>
  <c r="D32" i="20"/>
  <c r="F32" i="20"/>
  <c r="G32" i="20"/>
  <c r="H32" i="20"/>
  <c r="D33" i="20"/>
  <c r="F33" i="20"/>
  <c r="G33" i="20"/>
  <c r="H33" i="20"/>
  <c r="D34" i="20"/>
  <c r="F34" i="20"/>
  <c r="G34" i="20"/>
  <c r="H34" i="20"/>
  <c r="D35" i="20"/>
  <c r="F35" i="20"/>
  <c r="G35" i="20"/>
  <c r="H35" i="20"/>
  <c r="D36" i="20"/>
  <c r="F36" i="20"/>
  <c r="G36" i="20"/>
  <c r="H36" i="20"/>
  <c r="D37" i="20"/>
  <c r="F37" i="20"/>
  <c r="G37" i="20"/>
  <c r="H37" i="20"/>
  <c r="D38" i="20"/>
  <c r="F38" i="20"/>
  <c r="G38" i="20"/>
  <c r="H38" i="20"/>
  <c r="D39" i="20"/>
  <c r="F39" i="20"/>
  <c r="G39" i="20"/>
  <c r="H39" i="20"/>
  <c r="D40" i="20"/>
  <c r="F40" i="20"/>
  <c r="G40" i="20"/>
  <c r="H40" i="20"/>
  <c r="D41" i="20"/>
  <c r="F41" i="20"/>
  <c r="G41" i="20"/>
  <c r="H41" i="20"/>
  <c r="D42" i="20"/>
  <c r="F42" i="20"/>
  <c r="G42" i="20"/>
  <c r="H42" i="20"/>
  <c r="D43" i="20"/>
  <c r="F43" i="20"/>
  <c r="G43" i="20"/>
  <c r="H43" i="20"/>
  <c r="D44" i="20"/>
  <c r="F44" i="20"/>
  <c r="G44" i="20"/>
  <c r="H44" i="20"/>
  <c r="D45" i="20"/>
  <c r="F45" i="20"/>
  <c r="G45" i="20"/>
  <c r="H45" i="20"/>
  <c r="D46" i="20"/>
  <c r="F46" i="20"/>
  <c r="G46" i="20"/>
  <c r="H46" i="20"/>
  <c r="D47" i="20"/>
  <c r="F47" i="20"/>
  <c r="G47" i="20"/>
  <c r="H47" i="20"/>
  <c r="D48" i="20"/>
  <c r="F48" i="20"/>
  <c r="G48" i="20"/>
  <c r="H48" i="20"/>
  <c r="D49" i="20"/>
  <c r="F49" i="20"/>
  <c r="G49" i="20"/>
  <c r="H49" i="20"/>
  <c r="D50" i="20"/>
  <c r="F50" i="20"/>
  <c r="G50" i="20"/>
  <c r="H50" i="20"/>
  <c r="D51" i="20"/>
  <c r="F51" i="20"/>
  <c r="G51" i="20"/>
  <c r="H51" i="20"/>
  <c r="D52" i="20"/>
  <c r="F52" i="20"/>
  <c r="G52" i="20"/>
  <c r="H52" i="20"/>
  <c r="D53" i="20"/>
  <c r="F53" i="20"/>
  <c r="G53" i="20"/>
  <c r="H53" i="20"/>
  <c r="H55" i="20"/>
  <c r="B55" i="20"/>
  <c r="F11" i="20"/>
  <c r="F55" i="20"/>
  <c r="G55" i="20"/>
  <c r="E55" i="20"/>
  <c r="C55" i="20"/>
  <c r="D55" i="20"/>
  <c r="C55" i="19"/>
  <c r="C60" i="19"/>
  <c r="B55" i="19"/>
  <c r="B60" i="19"/>
  <c r="E4" i="19"/>
  <c r="F4" i="19"/>
  <c r="E5" i="19"/>
  <c r="F5" i="19"/>
  <c r="Q5" i="9"/>
  <c r="E6" i="19"/>
  <c r="F6" i="19"/>
  <c r="Q6" i="9"/>
  <c r="E7" i="19"/>
  <c r="F7" i="19"/>
  <c r="Q7" i="9"/>
  <c r="E8" i="19"/>
  <c r="F8" i="19"/>
  <c r="Q8" i="9"/>
  <c r="E9" i="19"/>
  <c r="F9" i="19"/>
  <c r="Q9" i="9"/>
  <c r="E10" i="19"/>
  <c r="F10" i="19"/>
  <c r="Q10" i="9"/>
  <c r="E11" i="19"/>
  <c r="F11" i="19"/>
  <c r="Q11" i="9"/>
  <c r="E12" i="19"/>
  <c r="F12" i="19"/>
  <c r="Q12" i="9"/>
  <c r="E13" i="19"/>
  <c r="F13" i="19"/>
  <c r="Q13" i="9"/>
  <c r="E14" i="19"/>
  <c r="F14" i="19"/>
  <c r="Q14" i="9"/>
  <c r="E15" i="19"/>
  <c r="F15" i="19"/>
  <c r="Q15" i="9"/>
  <c r="E16" i="19"/>
  <c r="F16" i="19"/>
  <c r="Q16" i="9"/>
  <c r="E17" i="19"/>
  <c r="F17" i="19"/>
  <c r="Q17" i="9"/>
  <c r="E18" i="19"/>
  <c r="F18" i="19"/>
  <c r="Q18" i="9"/>
  <c r="E19" i="19"/>
  <c r="F19" i="19"/>
  <c r="Q19" i="9"/>
  <c r="E20" i="19"/>
  <c r="F20" i="19"/>
  <c r="Q20" i="9"/>
  <c r="E21" i="19"/>
  <c r="F21" i="19"/>
  <c r="Q21" i="9"/>
  <c r="E22" i="19"/>
  <c r="F22" i="19"/>
  <c r="Q22" i="9"/>
  <c r="E23" i="19"/>
  <c r="F23" i="19"/>
  <c r="Q23" i="9"/>
  <c r="E24" i="19"/>
  <c r="F24" i="19"/>
  <c r="Q24" i="9"/>
  <c r="E25" i="19"/>
  <c r="F25" i="19"/>
  <c r="Q25" i="9"/>
  <c r="E26" i="19"/>
  <c r="F26" i="19"/>
  <c r="Q26" i="9"/>
  <c r="E27" i="19"/>
  <c r="F27" i="19"/>
  <c r="E28" i="19"/>
  <c r="F28" i="19"/>
  <c r="Q28" i="9"/>
  <c r="E29" i="19"/>
  <c r="F29" i="19"/>
  <c r="Q29" i="9"/>
  <c r="E30" i="19"/>
  <c r="F30" i="19"/>
  <c r="Q30" i="9"/>
  <c r="E31" i="19"/>
  <c r="F31" i="19"/>
  <c r="Q31" i="9"/>
  <c r="E32" i="19"/>
  <c r="F32" i="19"/>
  <c r="Q32" i="9"/>
  <c r="E33" i="19"/>
  <c r="F33" i="19"/>
  <c r="Q33" i="9"/>
  <c r="E34" i="19"/>
  <c r="F34" i="19"/>
  <c r="Q34" i="9"/>
  <c r="E35" i="19"/>
  <c r="F35" i="19"/>
  <c r="Q35" i="9"/>
  <c r="E36" i="19"/>
  <c r="F36" i="19"/>
  <c r="Q36" i="9"/>
  <c r="E37" i="19"/>
  <c r="F37" i="19"/>
  <c r="Q37" i="9"/>
  <c r="E38" i="19"/>
  <c r="F38" i="19"/>
  <c r="Q38" i="9"/>
  <c r="E39" i="19"/>
  <c r="F39" i="19"/>
  <c r="Q39" i="9"/>
  <c r="E40" i="19"/>
  <c r="F40" i="19"/>
  <c r="Q40" i="9"/>
  <c r="E41" i="19"/>
  <c r="F41" i="19"/>
  <c r="Q41" i="9"/>
  <c r="E42" i="19"/>
  <c r="F42" i="19"/>
  <c r="Q42" i="9"/>
  <c r="E43" i="19"/>
  <c r="F43" i="19"/>
  <c r="Q43" i="9"/>
  <c r="E44" i="19"/>
  <c r="F44" i="19"/>
  <c r="Q44" i="9"/>
  <c r="E45" i="19"/>
  <c r="F45" i="19"/>
  <c r="Q45" i="9"/>
  <c r="E46" i="19"/>
  <c r="F46" i="19"/>
  <c r="Q46" i="9"/>
  <c r="E47" i="19"/>
  <c r="F47" i="19"/>
  <c r="Q47" i="9"/>
  <c r="E48" i="19"/>
  <c r="F48" i="19"/>
  <c r="Q48" i="9"/>
  <c r="E49" i="19"/>
  <c r="F49" i="19"/>
  <c r="Q49" i="9"/>
  <c r="E50" i="19"/>
  <c r="F50" i="19"/>
  <c r="Q50" i="9"/>
  <c r="E51" i="19"/>
  <c r="F51" i="19"/>
  <c r="Q51" i="9"/>
  <c r="E52" i="19"/>
  <c r="F52" i="19"/>
  <c r="Q52" i="9"/>
  <c r="E53" i="19"/>
  <c r="F53" i="19"/>
  <c r="Q53" i="9"/>
  <c r="L55" i="19"/>
  <c r="L60" i="19"/>
  <c r="T62" i="10"/>
  <c r="S62" i="10"/>
  <c r="R62" i="10"/>
  <c r="Q62" i="10"/>
  <c r="P62" i="10"/>
  <c r="O62" i="10"/>
  <c r="N62" i="10"/>
  <c r="M62" i="10"/>
  <c r="L62" i="10"/>
  <c r="K62" i="10"/>
  <c r="J62" i="10"/>
  <c r="I62" i="10"/>
  <c r="H62" i="10"/>
  <c r="G62" i="10"/>
  <c r="F62" i="10"/>
  <c r="E62" i="10"/>
  <c r="D62" i="10"/>
  <c r="C62" i="10"/>
  <c r="B55" i="10"/>
  <c r="C55" i="10"/>
  <c r="D55" i="10"/>
  <c r="E55" i="10"/>
  <c r="F55" i="10"/>
  <c r="G55" i="10"/>
  <c r="H55" i="10"/>
  <c r="I55" i="10"/>
  <c r="J55" i="10"/>
  <c r="K55" i="10"/>
  <c r="L55" i="10"/>
  <c r="M55" i="10"/>
  <c r="N55" i="10"/>
  <c r="O55" i="10"/>
  <c r="P55" i="10"/>
  <c r="Q55" i="10"/>
  <c r="R55" i="10"/>
  <c r="S55" i="10"/>
  <c r="T55" i="10"/>
  <c r="B55" i="5"/>
  <c r="B54" i="5"/>
  <c r="E4" i="15"/>
  <c r="P4" i="9"/>
  <c r="E5" i="15"/>
  <c r="P5" i="9"/>
  <c r="E6" i="15"/>
  <c r="P6" i="9"/>
  <c r="E7" i="15"/>
  <c r="P7" i="9"/>
  <c r="E8" i="15"/>
  <c r="P8" i="9"/>
  <c r="E9" i="15"/>
  <c r="P9" i="9"/>
  <c r="E10" i="15"/>
  <c r="P10" i="9"/>
  <c r="E11" i="15"/>
  <c r="P11" i="9"/>
  <c r="E12" i="15"/>
  <c r="P12" i="9"/>
  <c r="E13" i="15"/>
  <c r="P13" i="9"/>
  <c r="E14" i="15"/>
  <c r="P14" i="9"/>
  <c r="E15" i="15"/>
  <c r="P15" i="9"/>
  <c r="E16" i="15"/>
  <c r="P16" i="9"/>
  <c r="E17" i="15"/>
  <c r="P17" i="9"/>
  <c r="E18" i="15"/>
  <c r="P18" i="9"/>
  <c r="E19" i="15"/>
  <c r="P19" i="9"/>
  <c r="E20" i="15"/>
  <c r="P20" i="9"/>
  <c r="E21" i="15"/>
  <c r="P21" i="9"/>
  <c r="E22" i="15"/>
  <c r="P22" i="9"/>
  <c r="E23" i="15"/>
  <c r="P23" i="9"/>
  <c r="E24" i="15"/>
  <c r="P24" i="9"/>
  <c r="E25" i="15"/>
  <c r="P25" i="9"/>
  <c r="E26" i="15"/>
  <c r="P26" i="9"/>
  <c r="E27" i="15"/>
  <c r="P27" i="9"/>
  <c r="E28" i="15"/>
  <c r="P28" i="9"/>
  <c r="E29" i="15"/>
  <c r="P29" i="9"/>
  <c r="E30" i="15"/>
  <c r="P30" i="9"/>
  <c r="E31" i="15"/>
  <c r="P31" i="9"/>
  <c r="E32" i="15"/>
  <c r="P32" i="9"/>
  <c r="E33" i="15"/>
  <c r="P33" i="9"/>
  <c r="E34" i="15"/>
  <c r="P34" i="9"/>
  <c r="E35" i="15"/>
  <c r="P35" i="9"/>
  <c r="E36" i="15"/>
  <c r="P36" i="9"/>
  <c r="E37" i="15"/>
  <c r="P37" i="9"/>
  <c r="E38" i="15"/>
  <c r="P38" i="9"/>
  <c r="E39" i="15"/>
  <c r="P39" i="9"/>
  <c r="E40" i="15"/>
  <c r="P40" i="9"/>
  <c r="E41" i="15"/>
  <c r="P41" i="9"/>
  <c r="E42" i="15"/>
  <c r="P42" i="9"/>
  <c r="E43" i="15"/>
  <c r="P43" i="9"/>
  <c r="E44" i="15"/>
  <c r="P44" i="9"/>
  <c r="E45" i="15"/>
  <c r="P45" i="9"/>
  <c r="E46" i="15"/>
  <c r="P46" i="9"/>
  <c r="E47" i="15"/>
  <c r="P47" i="9"/>
  <c r="E48" i="15"/>
  <c r="P48" i="9"/>
  <c r="E49" i="15"/>
  <c r="P49" i="9"/>
  <c r="E50" i="15"/>
  <c r="P50" i="9"/>
  <c r="E51" i="15"/>
  <c r="P51" i="9"/>
  <c r="E52" i="15"/>
  <c r="P52" i="9"/>
  <c r="E53" i="15"/>
  <c r="P53" i="9"/>
  <c r="H4" i="9"/>
  <c r="H5" i="9"/>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M4" i="8"/>
  <c r="S4" i="9"/>
  <c r="M5" i="8"/>
  <c r="S5" i="9"/>
  <c r="M6" i="8"/>
  <c r="S6" i="9"/>
  <c r="M7" i="8"/>
  <c r="S7" i="9"/>
  <c r="M8" i="8"/>
  <c r="S8" i="9"/>
  <c r="M9" i="8"/>
  <c r="S9" i="9"/>
  <c r="M10" i="8"/>
  <c r="S10" i="9"/>
  <c r="M11" i="8"/>
  <c r="S11" i="9"/>
  <c r="M12" i="8"/>
  <c r="S12" i="9"/>
  <c r="M13" i="8"/>
  <c r="S13" i="9"/>
  <c r="M14" i="8"/>
  <c r="S14" i="9"/>
  <c r="M15" i="8"/>
  <c r="S15" i="9"/>
  <c r="M16" i="8"/>
  <c r="S16" i="9"/>
  <c r="M17" i="8"/>
  <c r="S17" i="9"/>
  <c r="M18" i="8"/>
  <c r="S18" i="9"/>
  <c r="M19" i="8"/>
  <c r="S19" i="9"/>
  <c r="M20" i="8"/>
  <c r="S20" i="9"/>
  <c r="M21" i="8"/>
  <c r="S21" i="9"/>
  <c r="M22" i="8"/>
  <c r="S22" i="9"/>
  <c r="M23" i="8"/>
  <c r="S23" i="9"/>
  <c r="M24" i="8"/>
  <c r="S24" i="9"/>
  <c r="M25" i="8"/>
  <c r="S25" i="9"/>
  <c r="M26" i="8"/>
  <c r="S26" i="9"/>
  <c r="M27" i="8"/>
  <c r="S27" i="9"/>
  <c r="M28" i="8"/>
  <c r="S28" i="9"/>
  <c r="M29" i="8"/>
  <c r="S29" i="9"/>
  <c r="M30" i="8"/>
  <c r="S30" i="9"/>
  <c r="M31" i="8"/>
  <c r="S31" i="9"/>
  <c r="M32" i="8"/>
  <c r="S32" i="9"/>
  <c r="M33" i="8"/>
  <c r="S33" i="9"/>
  <c r="M34" i="8"/>
  <c r="S34" i="9"/>
  <c r="M35" i="8"/>
  <c r="S35" i="9"/>
  <c r="M36" i="8"/>
  <c r="S36" i="9"/>
  <c r="M37" i="8"/>
  <c r="S37" i="9"/>
  <c r="M38" i="8"/>
  <c r="S38" i="9"/>
  <c r="M39" i="8"/>
  <c r="S39" i="9"/>
  <c r="M40" i="8"/>
  <c r="S40" i="9"/>
  <c r="M41" i="8"/>
  <c r="S41" i="9"/>
  <c r="M42" i="8"/>
  <c r="S42" i="9"/>
  <c r="M43" i="8"/>
  <c r="S43" i="9"/>
  <c r="M44" i="8"/>
  <c r="S44" i="9"/>
  <c r="M45" i="8"/>
  <c r="S45" i="9"/>
  <c r="M46" i="8"/>
  <c r="S46" i="9"/>
  <c r="M47" i="8"/>
  <c r="S47" i="9"/>
  <c r="M48" i="8"/>
  <c r="S48" i="9"/>
  <c r="M49" i="8"/>
  <c r="S49" i="9"/>
  <c r="M50" i="8"/>
  <c r="S50" i="9"/>
  <c r="M51" i="8"/>
  <c r="S51" i="9"/>
  <c r="M52" i="8"/>
  <c r="S52" i="9"/>
  <c r="M53" i="8"/>
  <c r="S53" i="9"/>
  <c r="R55" i="9"/>
  <c r="B55" i="16"/>
  <c r="C55" i="16"/>
  <c r="D55" i="16"/>
  <c r="E55" i="16"/>
  <c r="N55" i="9"/>
  <c r="D4" i="14"/>
  <c r="M4" i="9"/>
  <c r="D5" i="14"/>
  <c r="M5" i="9"/>
  <c r="D6" i="14"/>
  <c r="M6" i="9"/>
  <c r="D7" i="14"/>
  <c r="M7" i="9"/>
  <c r="D8" i="14"/>
  <c r="M8" i="9"/>
  <c r="D9" i="14"/>
  <c r="M9" i="9"/>
  <c r="D10" i="14"/>
  <c r="M10" i="9"/>
  <c r="D11" i="14"/>
  <c r="M11" i="9"/>
  <c r="D12" i="14"/>
  <c r="D13" i="14"/>
  <c r="D14" i="14"/>
  <c r="D15" i="14"/>
  <c r="D16" i="14"/>
  <c r="D17" i="14"/>
  <c r="D18" i="14"/>
  <c r="D19" i="14"/>
  <c r="D20" i="14"/>
  <c r="D21" i="14"/>
  <c r="D22" i="14"/>
  <c r="D23" i="14"/>
  <c r="D24" i="14"/>
  <c r="D25" i="14"/>
  <c r="D26" i="14"/>
  <c r="D27" i="14"/>
  <c r="D28" i="14"/>
  <c r="D29" i="14"/>
  <c r="D30" i="14"/>
  <c r="D31" i="14"/>
  <c r="D32" i="14"/>
  <c r="D33" i="14"/>
  <c r="D34" i="14"/>
  <c r="D35" i="14"/>
  <c r="D36" i="14"/>
  <c r="D37" i="14"/>
  <c r="D38" i="14"/>
  <c r="D39" i="14"/>
  <c r="D40" i="14"/>
  <c r="D41" i="14"/>
  <c r="D42" i="14"/>
  <c r="D43" i="14"/>
  <c r="D44" i="14"/>
  <c r="D45" i="14"/>
  <c r="D46" i="14"/>
  <c r="D47" i="14"/>
  <c r="D48" i="14"/>
  <c r="D49" i="14"/>
  <c r="D50" i="14"/>
  <c r="D51" i="14"/>
  <c r="D52" i="14"/>
  <c r="D53" i="14"/>
  <c r="L4" i="9"/>
  <c r="L5" i="9"/>
  <c r="L6" i="9"/>
  <c r="L7" i="9"/>
  <c r="L8" i="9"/>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J4" i="9"/>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I4" i="9"/>
  <c r="I5" i="9"/>
  <c r="I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G4" i="9"/>
  <c r="G5" i="9"/>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F4" i="9"/>
  <c r="F55" i="9"/>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E55" i="9"/>
  <c r="E53" i="16"/>
  <c r="N53" i="9"/>
  <c r="E52" i="16"/>
  <c r="N52" i="9"/>
  <c r="E51" i="16"/>
  <c r="N51" i="9"/>
  <c r="E50" i="16"/>
  <c r="N50" i="9"/>
  <c r="E49" i="16"/>
  <c r="N49" i="9"/>
  <c r="E48" i="16"/>
  <c r="N48" i="9"/>
  <c r="E47" i="16"/>
  <c r="N47" i="9"/>
  <c r="E46" i="16"/>
  <c r="N46" i="9"/>
  <c r="E45" i="16"/>
  <c r="N45" i="9"/>
  <c r="E44" i="16"/>
  <c r="N44" i="9"/>
  <c r="E43" i="16"/>
  <c r="N43" i="9"/>
  <c r="E42" i="16"/>
  <c r="N42" i="9"/>
  <c r="E41" i="16"/>
  <c r="N41" i="9"/>
  <c r="E40" i="16"/>
  <c r="N40" i="9"/>
  <c r="E39" i="16"/>
  <c r="N39" i="9"/>
  <c r="E38" i="16"/>
  <c r="N38" i="9"/>
  <c r="E37" i="16"/>
  <c r="N37" i="9"/>
  <c r="E36" i="16"/>
  <c r="N36" i="9"/>
  <c r="E35" i="16"/>
  <c r="N35" i="9"/>
  <c r="E34" i="16"/>
  <c r="N34" i="9"/>
  <c r="E33" i="16"/>
  <c r="N33" i="9"/>
  <c r="E32" i="16"/>
  <c r="N32" i="9"/>
  <c r="E31" i="16"/>
  <c r="N31" i="9"/>
  <c r="E30" i="16"/>
  <c r="N30" i="9"/>
  <c r="E29" i="16"/>
  <c r="N29" i="9"/>
  <c r="E28" i="16"/>
  <c r="N28" i="9"/>
  <c r="E27" i="16"/>
  <c r="N27" i="9"/>
  <c r="E26" i="16"/>
  <c r="N26" i="9"/>
  <c r="E25" i="16"/>
  <c r="N25" i="9"/>
  <c r="E24" i="16"/>
  <c r="N24" i="9"/>
  <c r="E23" i="16"/>
  <c r="N23" i="9"/>
  <c r="E22" i="16"/>
  <c r="N22" i="9"/>
  <c r="E21" i="16"/>
  <c r="N21" i="9"/>
  <c r="E20" i="16"/>
  <c r="N20" i="9"/>
  <c r="E19" i="16"/>
  <c r="N19" i="9"/>
  <c r="E18" i="16"/>
  <c r="N18" i="9"/>
  <c r="E17" i="16"/>
  <c r="N17" i="9"/>
  <c r="E16" i="16"/>
  <c r="N16" i="9"/>
  <c r="E15" i="16"/>
  <c r="N15" i="9"/>
  <c r="E14" i="16"/>
  <c r="N14" i="9"/>
  <c r="E13" i="16"/>
  <c r="N13" i="9"/>
  <c r="E12" i="16"/>
  <c r="N12" i="9"/>
  <c r="E11" i="16"/>
  <c r="N11" i="9"/>
  <c r="E10" i="16"/>
  <c r="N10" i="9"/>
  <c r="E9" i="16"/>
  <c r="N9" i="9"/>
  <c r="E8" i="16"/>
  <c r="N8" i="9"/>
  <c r="E7" i="16"/>
  <c r="N7" i="9"/>
  <c r="E6" i="16"/>
  <c r="N6" i="9"/>
  <c r="E5" i="16"/>
  <c r="N5" i="9"/>
  <c r="E4" i="16"/>
  <c r="N4" i="9"/>
  <c r="AB4" i="15"/>
  <c r="E55" i="15"/>
  <c r="D55" i="15"/>
  <c r="C55" i="15"/>
  <c r="B55" i="15"/>
  <c r="M55" i="8"/>
  <c r="C55" i="14"/>
  <c r="B55" i="14"/>
  <c r="B61" i="16"/>
  <c r="C61" i="16"/>
  <c r="D61" i="16"/>
  <c r="E61" i="16"/>
  <c r="E59" i="16"/>
  <c r="E58" i="16"/>
  <c r="E57" i="16"/>
  <c r="B55" i="7"/>
  <c r="B54" i="27"/>
  <c r="T22" i="37"/>
  <c r="T38" i="37"/>
  <c r="T26" i="37"/>
  <c r="T42" i="37"/>
  <c r="T30" i="37"/>
  <c r="T46" i="37"/>
  <c r="T34" i="37"/>
  <c r="T50" i="37"/>
  <c r="M55" i="39"/>
  <c r="T4" i="39"/>
  <c r="T55" i="39"/>
  <c r="M4" i="34"/>
  <c r="T4" i="37"/>
  <c r="M8" i="34"/>
  <c r="T12" i="37"/>
  <c r="T16" i="37"/>
  <c r="T20" i="37"/>
  <c r="T24" i="37"/>
  <c r="T28" i="37"/>
  <c r="T32" i="37"/>
  <c r="T36" i="37"/>
  <c r="T40" i="37"/>
  <c r="T44" i="37"/>
  <c r="T48" i="37"/>
  <c r="T52" i="37"/>
  <c r="M5" i="34"/>
  <c r="T5" i="37"/>
  <c r="M9" i="34"/>
  <c r="T9" i="37"/>
  <c r="T13" i="37"/>
  <c r="T17" i="37"/>
  <c r="T21" i="37"/>
  <c r="T25" i="37"/>
  <c r="T29" i="37"/>
  <c r="T33" i="37"/>
  <c r="T37" i="37"/>
  <c r="T41" i="37"/>
  <c r="T45" i="37"/>
  <c r="T49" i="37"/>
  <c r="T53" i="37"/>
  <c r="M55" i="9"/>
  <c r="T9" i="21"/>
  <c r="T17" i="21"/>
  <c r="T25" i="21"/>
  <c r="T33" i="21"/>
  <c r="T41" i="21"/>
  <c r="T49" i="21"/>
  <c r="T13" i="22"/>
  <c r="T17" i="22"/>
  <c r="T21" i="22"/>
  <c r="T29" i="22"/>
  <c r="T33" i="22"/>
  <c r="T37" i="22"/>
  <c r="T45" i="22"/>
  <c r="T49" i="22"/>
  <c r="T53" i="22"/>
  <c r="M6" i="34"/>
  <c r="T6" i="37"/>
  <c r="M10" i="34"/>
  <c r="T10" i="37"/>
  <c r="T14" i="37"/>
  <c r="T18" i="37"/>
  <c r="M55" i="25"/>
  <c r="D55" i="14"/>
  <c r="T40" i="22"/>
  <c r="T32" i="22"/>
  <c r="T28" i="22"/>
  <c r="T24" i="22"/>
  <c r="T4" i="25"/>
  <c r="M7" i="34"/>
  <c r="T7" i="37"/>
  <c r="M11" i="34"/>
  <c r="T11" i="37"/>
  <c r="T15" i="37"/>
  <c r="T19" i="37"/>
  <c r="T23" i="37"/>
  <c r="T27" i="37"/>
  <c r="T31" i="37"/>
  <c r="T35" i="37"/>
  <c r="T39" i="37"/>
  <c r="T43" i="37"/>
  <c r="T47" i="37"/>
  <c r="T51" i="37"/>
  <c r="T51" i="25"/>
  <c r="T47" i="25"/>
  <c r="T43" i="25"/>
  <c r="T39" i="25"/>
  <c r="T35" i="25"/>
  <c r="T31" i="25"/>
  <c r="T27" i="25"/>
  <c r="T23" i="25"/>
  <c r="T19" i="25"/>
  <c r="T15" i="25"/>
  <c r="T11" i="25"/>
  <c r="T7" i="25"/>
  <c r="T4" i="22"/>
  <c r="T20" i="22"/>
  <c r="T36" i="22"/>
  <c r="T52" i="22"/>
  <c r="T48" i="22"/>
  <c r="T44" i="22"/>
  <c r="O55" i="22"/>
  <c r="T16" i="22"/>
  <c r="T12" i="22"/>
  <c r="S55" i="22"/>
  <c r="L55" i="21"/>
  <c r="O55" i="34"/>
  <c r="P55" i="9"/>
  <c r="L55" i="9"/>
  <c r="H55" i="9"/>
  <c r="G55" i="9"/>
  <c r="C55" i="9"/>
  <c r="J55" i="9"/>
  <c r="S55" i="9"/>
  <c r="K55" i="9"/>
  <c r="O55" i="9"/>
  <c r="I55" i="9"/>
  <c r="B55" i="9"/>
  <c r="T46" i="9"/>
  <c r="T42" i="9"/>
  <c r="T38" i="9"/>
  <c r="T53" i="9"/>
  <c r="T49" i="9"/>
  <c r="T45" i="9"/>
  <c r="T41" i="9"/>
  <c r="T37" i="9"/>
  <c r="T33" i="9"/>
  <c r="T52" i="9"/>
  <c r="T48" i="9"/>
  <c r="T44" i="9"/>
  <c r="T40" i="9"/>
  <c r="T36" i="9"/>
  <c r="T50" i="9"/>
  <c r="T34" i="9"/>
  <c r="J55" i="25"/>
  <c r="F55" i="25"/>
  <c r="T13" i="25"/>
  <c r="T17" i="25"/>
  <c r="T25" i="25"/>
  <c r="T29" i="25"/>
  <c r="T37" i="25"/>
  <c r="T41" i="25"/>
  <c r="T45" i="25"/>
  <c r="T53" i="25"/>
  <c r="N55" i="25"/>
  <c r="T50" i="25"/>
  <c r="T38" i="25"/>
  <c r="T30" i="25"/>
  <c r="T26" i="25"/>
  <c r="T22" i="25"/>
  <c r="T14" i="25"/>
  <c r="T6" i="25"/>
  <c r="S55" i="25"/>
  <c r="O55" i="25"/>
  <c r="T52" i="25"/>
  <c r="T48" i="25"/>
  <c r="T44" i="25"/>
  <c r="T40" i="25"/>
  <c r="T36" i="25"/>
  <c r="T32" i="25"/>
  <c r="T28" i="25"/>
  <c r="T24" i="25"/>
  <c r="T20" i="25"/>
  <c r="T16" i="25"/>
  <c r="T12" i="25"/>
  <c r="T8" i="25"/>
  <c r="H55" i="25"/>
  <c r="T9" i="25"/>
  <c r="T21" i="25"/>
  <c r="T33" i="25"/>
  <c r="T49" i="25"/>
  <c r="R55" i="25"/>
  <c r="T46" i="25"/>
  <c r="T42" i="25"/>
  <c r="T34" i="25"/>
  <c r="T18" i="25"/>
  <c r="T10" i="25"/>
  <c r="P55" i="25"/>
  <c r="B55" i="25"/>
  <c r="G55" i="22"/>
  <c r="T46" i="22"/>
  <c r="T39" i="22"/>
  <c r="T30" i="22"/>
  <c r="T23" i="22"/>
  <c r="T14" i="22"/>
  <c r="T7" i="22"/>
  <c r="P55" i="22"/>
  <c r="T51" i="22"/>
  <c r="T42" i="22"/>
  <c r="T35" i="22"/>
  <c r="T26" i="22"/>
  <c r="T19" i="22"/>
  <c r="T10" i="22"/>
  <c r="L55" i="22"/>
  <c r="J55" i="22"/>
  <c r="M55" i="22"/>
  <c r="N55" i="22"/>
  <c r="T47" i="22"/>
  <c r="T38" i="22"/>
  <c r="T31" i="22"/>
  <c r="T22" i="22"/>
  <c r="T15" i="22"/>
  <c r="T6" i="22"/>
  <c r="I55" i="22"/>
  <c r="T50" i="22"/>
  <c r="T43" i="22"/>
  <c r="T34" i="22"/>
  <c r="T27" i="22"/>
  <c r="T18" i="22"/>
  <c r="T11" i="22"/>
  <c r="T5" i="22"/>
  <c r="B55" i="22"/>
  <c r="F55" i="34"/>
  <c r="T8" i="34"/>
  <c r="T9" i="34"/>
  <c r="T11" i="34"/>
  <c r="T12" i="34"/>
  <c r="T13" i="34"/>
  <c r="T17" i="34"/>
  <c r="T19" i="34"/>
  <c r="T25" i="34"/>
  <c r="T27" i="34"/>
  <c r="T28" i="34"/>
  <c r="T33" i="34"/>
  <c r="D55" i="34"/>
  <c r="T41" i="34"/>
  <c r="T43" i="34"/>
  <c r="T44" i="34"/>
  <c r="T48" i="34"/>
  <c r="T49" i="34"/>
  <c r="L55" i="34"/>
  <c r="J55" i="34"/>
  <c r="I55" i="34"/>
  <c r="G55" i="34"/>
  <c r="T6" i="34"/>
  <c r="T14" i="34"/>
  <c r="T22" i="34"/>
  <c r="T26" i="34"/>
  <c r="T30" i="34"/>
  <c r="H55" i="34"/>
  <c r="T38" i="34"/>
  <c r="T46" i="34"/>
  <c r="P55" i="34"/>
  <c r="N55" i="34"/>
  <c r="T34" i="34"/>
  <c r="H55" i="21"/>
  <c r="P55" i="21"/>
  <c r="T11" i="21"/>
  <c r="T15" i="21"/>
  <c r="T23" i="21"/>
  <c r="T27" i="21"/>
  <c r="T31" i="21"/>
  <c r="T39" i="21"/>
  <c r="T43" i="21"/>
  <c r="T51" i="21"/>
  <c r="O55" i="21"/>
  <c r="F55" i="21"/>
  <c r="S55" i="21"/>
  <c r="T6" i="21"/>
  <c r="T10" i="21"/>
  <c r="T14" i="21"/>
  <c r="T18" i="21"/>
  <c r="T22" i="21"/>
  <c r="T26" i="21"/>
  <c r="T30" i="21"/>
  <c r="C55" i="21"/>
  <c r="T38" i="21"/>
  <c r="T42" i="21"/>
  <c r="T46" i="21"/>
  <c r="T50" i="21"/>
  <c r="T4" i="21"/>
  <c r="T8" i="21"/>
  <c r="T12" i="21"/>
  <c r="T16" i="21"/>
  <c r="T20" i="21"/>
  <c r="T24" i="21"/>
  <c r="T28" i="21"/>
  <c r="T32" i="21"/>
  <c r="T36" i="21"/>
  <c r="T40" i="21"/>
  <c r="T44" i="21"/>
  <c r="T48" i="21"/>
  <c r="T52" i="21"/>
  <c r="J55" i="21"/>
  <c r="M55" i="21"/>
  <c r="I55" i="21"/>
  <c r="T7" i="21"/>
  <c r="T19" i="21"/>
  <c r="T35" i="21"/>
  <c r="T47" i="21"/>
  <c r="N55" i="21"/>
  <c r="G55" i="21"/>
  <c r="T34" i="21"/>
  <c r="T31" i="9"/>
  <c r="T23" i="9"/>
  <c r="T19" i="9"/>
  <c r="T15" i="9"/>
  <c r="T11" i="9"/>
  <c r="T7" i="9"/>
  <c r="E55" i="34"/>
  <c r="T4" i="34"/>
  <c r="E55" i="25"/>
  <c r="T5" i="25"/>
  <c r="T30" i="9"/>
  <c r="T26" i="9"/>
  <c r="T22" i="9"/>
  <c r="T18" i="9"/>
  <c r="T14" i="9"/>
  <c r="T6" i="9"/>
  <c r="T29" i="9"/>
  <c r="T25" i="9"/>
  <c r="T21" i="9"/>
  <c r="T17" i="9"/>
  <c r="T13" i="9"/>
  <c r="T9" i="9"/>
  <c r="T5" i="9"/>
  <c r="T10" i="9"/>
  <c r="T51" i="9"/>
  <c r="T47" i="9"/>
  <c r="T43" i="9"/>
  <c r="T39" i="9"/>
  <c r="T35" i="9"/>
  <c r="T32" i="9"/>
  <c r="T28" i="9"/>
  <c r="T24" i="9"/>
  <c r="T20" i="9"/>
  <c r="T16" i="9"/>
  <c r="T12" i="9"/>
  <c r="T8" i="9"/>
  <c r="AK4" i="19"/>
  <c r="AJ4" i="19"/>
  <c r="AH4" i="19"/>
  <c r="AI4" i="19"/>
  <c r="Q55" i="35"/>
  <c r="T55" i="35"/>
  <c r="E55" i="19"/>
  <c r="Q4" i="9"/>
  <c r="T4" i="9"/>
  <c r="F55" i="19"/>
  <c r="Q27" i="9"/>
  <c r="T27" i="9"/>
  <c r="T45" i="34"/>
  <c r="T39" i="34"/>
  <c r="T16" i="34"/>
  <c r="T42" i="34"/>
  <c r="T31" i="34"/>
  <c r="T50" i="34"/>
  <c r="T18" i="34"/>
  <c r="T29" i="34"/>
  <c r="T24" i="34"/>
  <c r="T15" i="34"/>
  <c r="T10" i="34"/>
  <c r="T47" i="34"/>
  <c r="T32" i="34"/>
  <c r="T53" i="34"/>
  <c r="T23" i="34"/>
  <c r="M55" i="34"/>
  <c r="T52" i="34"/>
  <c r="T36" i="34"/>
  <c r="T21" i="34"/>
  <c r="T5" i="34"/>
  <c r="M55" i="37"/>
  <c r="T8" i="37"/>
  <c r="T55" i="37"/>
  <c r="T37" i="34"/>
  <c r="T7" i="34"/>
  <c r="T51" i="34"/>
  <c r="T40" i="34"/>
  <c r="T35" i="34"/>
  <c r="T20" i="34"/>
  <c r="T55" i="25"/>
  <c r="T55" i="22"/>
  <c r="T55" i="21"/>
  <c r="M55" i="19"/>
  <c r="Q55" i="9"/>
  <c r="T55" i="9"/>
  <c r="T55" i="34"/>
</calcChain>
</file>

<file path=xl/sharedStrings.xml><?xml version="1.0" encoding="utf-8"?>
<sst xmlns="http://schemas.openxmlformats.org/spreadsheetml/2006/main" count="1822" uniqueCount="346">
  <si>
    <t>Maine</t>
  </si>
  <si>
    <t>Maryland</t>
  </si>
  <si>
    <t>Massachusetts</t>
  </si>
  <si>
    <t>Michigan</t>
  </si>
  <si>
    <t>Minnesota</t>
  </si>
  <si>
    <t>Mississippi</t>
  </si>
  <si>
    <t>Missouri</t>
  </si>
  <si>
    <t>Montana</t>
  </si>
  <si>
    <t>Nebraska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</si>
  <si>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</si>
  <si>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</si>
  <si>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</si>
  <si>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</si>
  <si>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</si>
  <si>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</si>
  <si>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</si>
  <si>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</si>
  <si>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</si>
  <si>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</si>
  <si>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</si>
  <si>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</si>
  <si>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</si>
  <si>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</si>
  <si>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</si>
  <si>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</si>
  <si>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</si>
  <si>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</si>
  <si>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</si>
  <si>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</si>
  <si>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</si>
  <si>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</si>
  <si>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School Year 2011-12</t>
  </si>
  <si>
    <t>TOTAL</t>
  </si>
  <si>
    <t>Reported US Total</t>
  </si>
  <si>
    <t>CALC TOTAL</t>
  </si>
  <si>
    <t>Current Expenditures</t>
  </si>
  <si>
    <t>Capital Outlays</t>
  </si>
  <si>
    <t>Total Exp - no "other"</t>
  </si>
  <si>
    <t>Expenditures in $000s</t>
  </si>
  <si>
    <t>Total</t>
  </si>
  <si>
    <t>Reported Total</t>
  </si>
  <si>
    <t>State Preschool Spending</t>
  </si>
  <si>
    <t>Delaware</t>
  </si>
  <si>
    <t>Source:</t>
  </si>
  <si>
    <t>NIEER</t>
  </si>
  <si>
    <t>Calendar Year 2012</t>
  </si>
  <si>
    <t>Child Care &amp; Dev Fund</t>
  </si>
  <si>
    <t>&lt;1</t>
  </si>
  <si>
    <t>1 yr</t>
  </si>
  <si>
    <t>5 yrs</t>
  </si>
  <si>
    <t>4 yrs</t>
  </si>
  <si>
    <t>3 yrs</t>
  </si>
  <si>
    <t>2 yrs</t>
  </si>
  <si>
    <t>6 yrs</t>
  </si>
  <si>
    <t>7 yrs</t>
  </si>
  <si>
    <t>8 yrs</t>
  </si>
  <si>
    <t>9 yrs</t>
  </si>
  <si>
    <t>10 yrs</t>
  </si>
  <si>
    <t>11 yrs</t>
  </si>
  <si>
    <t>12 yrs</t>
  </si>
  <si>
    <t>13 yrs</t>
  </si>
  <si>
    <t>14 yrs</t>
  </si>
  <si>
    <t>15 yrs</t>
  </si>
  <si>
    <t>16 yrs</t>
  </si>
  <si>
    <t>17 yrs</t>
  </si>
  <si>
    <t>http://www.acf.hhs.gov/sites/default/files/cb/cm2012.pdf</t>
  </si>
  <si>
    <t xml:space="preserve">Source is Appendix C: </t>
  </si>
  <si>
    <t>Data is submitted by each state, and accompanies their SACWIS submission.</t>
  </si>
  <si>
    <t>Puerto Rico</t>
  </si>
  <si>
    <t>Total Matched</t>
  </si>
  <si>
    <t>Idaho (@ USA %)</t>
  </si>
  <si>
    <t>% of Total</t>
  </si>
  <si>
    <t>Total wo Idaho</t>
  </si>
  <si>
    <t>Federal Share of CSE</t>
  </si>
  <si>
    <t>State Admin Expenses</t>
  </si>
  <si>
    <t>Federal Incentive Payments</t>
  </si>
  <si>
    <t>Guam</t>
  </si>
  <si>
    <t>Virgin Islands</t>
  </si>
  <si>
    <t>Total to Match</t>
  </si>
  <si>
    <t>Reported Federal Share</t>
  </si>
  <si>
    <t>FFY 2012 - reported as of 9/30/2013</t>
  </si>
  <si>
    <t>Reported State Share - Match</t>
  </si>
  <si>
    <t>State                          MOE</t>
  </si>
  <si>
    <t>Mandatory Expenditures</t>
  </si>
  <si>
    <t>Discretionary Expenditures</t>
  </si>
  <si>
    <t>Other</t>
  </si>
  <si>
    <t>Jurisdictions</t>
  </si>
  <si>
    <t>Federal Expenditures</t>
  </si>
  <si>
    <t>State Expenditures</t>
  </si>
  <si>
    <t>Exclude Refundable Tax Credits</t>
  </si>
  <si>
    <t>Adjusted Total Expenditures</t>
  </si>
  <si>
    <t>SNAP</t>
  </si>
  <si>
    <t>Nevada</t>
  </si>
  <si>
    <t>Exclude Pro-rated non-Household Benefits</t>
  </si>
  <si>
    <t>@ 3-mo avg</t>
  </si>
  <si>
    <t>Avg Month Person Benefit</t>
  </si>
  <si>
    <t>Adjusted SNAP Benefits</t>
  </si>
  <si>
    <t>Total Nutrition Expenditures</t>
  </si>
  <si>
    <t>Avg Monthly Participation by Persons (not households)</t>
  </si>
  <si>
    <t>Total Expenditures</t>
  </si>
  <si>
    <t>Mental Health Programs</t>
  </si>
  <si>
    <t>Total Medicaid Spending</t>
  </si>
  <si>
    <t>Federal and State Share of CHIP Spending (in millions)</t>
  </si>
  <si>
    <t>Avail Unobligated</t>
  </si>
  <si>
    <t>FFY 2012</t>
  </si>
  <si>
    <t>Subpart 1</t>
  </si>
  <si>
    <t>Subpart 2</t>
  </si>
  <si>
    <t>State</t>
  </si>
  <si>
    <t>http://ccf.georgetown.edu/wp-content/uploads/2012/04/CHIP-Spending1.pdf</t>
  </si>
  <si>
    <t>Alabama</t>
  </si>
  <si>
    <t>Alaska</t>
  </si>
  <si>
    <t>Arizona</t>
  </si>
  <si>
    <t>Arkansas</t>
  </si>
  <si>
    <t>California</t>
  </si>
  <si>
    <t>Connecticut</t>
  </si>
  <si>
    <t>Colorado</t>
  </si>
  <si>
    <t>Florida</t>
  </si>
  <si>
    <t>Georgia</t>
  </si>
  <si>
    <t>Hawaii</t>
  </si>
  <si>
    <t>Idaho</t>
  </si>
  <si>
    <t>Illinois</t>
  </si>
  <si>
    <t>Indiana</t>
  </si>
  <si>
    <t>Iowa</t>
  </si>
  <si>
    <t>Kansas</t>
  </si>
  <si>
    <t>Kentucky</t>
  </si>
  <si>
    <t>Louisiana</t>
  </si>
  <si>
    <t>Section 2105(g) of the Social Security Act permits 11 qualifying states to use CHIP funds to pay the difference between the regular Medicaid matching rate and the enhanced CHIP matching rate for Medicaid-enrolled, Medicaid-financed children whose family income exceeds 133 percent of the federal poverty level. Since there is no state share of CHIP spending for these children (because their state share is financed entirely under Medicaid), some states (Connecticut, Minnesota, Vermont, and Washington) are shown in this table as having negative state CHIP spending.</t>
  </si>
  <si>
    <t>NA</t>
  </si>
  <si>
    <t>http://www.nri-incdata.org/RevExp2012/T13.pdf</t>
  </si>
  <si>
    <t>SMHA Contolled Mental Health Expenditures (0-17 years) in millions</t>
  </si>
  <si>
    <t>Total in $ 000s</t>
  </si>
  <si>
    <t>CHIP</t>
  </si>
  <si>
    <t>2 to 5</t>
  </si>
  <si>
    <t>0 to 1</t>
  </si>
  <si>
    <t>6 to 11</t>
  </si>
  <si>
    <t>12 to 15</t>
  </si>
  <si>
    <t>16 to 19</t>
  </si>
  <si>
    <t>Calculated Total</t>
  </si>
  <si>
    <t xml:space="preserve">Source: </t>
  </si>
  <si>
    <t xml:space="preserve"> --</t>
  </si>
  <si>
    <t>TANF</t>
  </si>
  <si>
    <t>State Funds</t>
  </si>
  <si>
    <t>Federal Allocation</t>
  </si>
  <si>
    <t>http://eclkc.ohs.acf.hhs.gov/hslc/data/factsheets/docs/hs-program-fact-sheet-2012.pdf</t>
  </si>
  <si>
    <t>SFY 2012</t>
  </si>
  <si>
    <t xml:space="preserve"> </t>
  </si>
  <si>
    <t>Total Kids</t>
  </si>
  <si>
    <t>Child Support Enforcement    Title IV-D</t>
  </si>
  <si>
    <t>Child Welfare Services &amp; Promoting Safe and Stable Families           Title IV-B</t>
  </si>
  <si>
    <t>&lt;&lt;NYC in</t>
  </si>
  <si>
    <t xml:space="preserve"> Alabama</t>
    <phoneticPr fontId="8" type="noConversion"/>
  </si>
  <si>
    <t xml:space="preserve"> Alaska</t>
  </si>
  <si>
    <t xml:space="preserve"> Arizona</t>
    <phoneticPr fontId="8" type="noConversion"/>
  </si>
  <si>
    <t xml:space="preserve"> Arkansas</t>
  </si>
  <si>
    <t xml:space="preserve"> California</t>
  </si>
  <si>
    <t xml:space="preserve"> Colorado</t>
    <phoneticPr fontId="8" type="noConversion"/>
  </si>
  <si>
    <t xml:space="preserve"> Connecticut</t>
    <phoneticPr fontId="8" type="noConversion"/>
  </si>
  <si>
    <t xml:space="preserve"> Delaware</t>
  </si>
  <si>
    <t xml:space="preserve"> Florida</t>
  </si>
  <si>
    <t xml:space="preserve"> Georgia</t>
  </si>
  <si>
    <t xml:space="preserve"> Hawaii</t>
  </si>
  <si>
    <t xml:space="preserve"> Idaho</t>
  </si>
  <si>
    <t xml:space="preserve"> Illinois</t>
  </si>
  <si>
    <t xml:space="preserve"> Indiana</t>
  </si>
  <si>
    <t xml:space="preserve"> Iowa</t>
  </si>
  <si>
    <t xml:space="preserve"> Kansas</t>
  </si>
  <si>
    <t xml:space="preserve"> Kentucky</t>
  </si>
  <si>
    <t xml:space="preserve"> Louisiana</t>
  </si>
  <si>
    <t xml:space="preserve"> Maine</t>
  </si>
  <si>
    <t xml:space="preserve"> Maryland</t>
  </si>
  <si>
    <t xml:space="preserve"> Massachusetts</t>
    <phoneticPr fontId="8" type="noConversion"/>
  </si>
  <si>
    <t xml:space="preserve"> Michigan</t>
    <phoneticPr fontId="8" type="noConversion"/>
  </si>
  <si>
    <t>Total Federal Funding</t>
  </si>
  <si>
    <t>FY 2012</t>
  </si>
  <si>
    <t>Section 317 Immunization Program</t>
  </si>
  <si>
    <t>Vaccines for Children (VFC) Program</t>
  </si>
  <si>
    <t>Discretionary State/Formula Grants</t>
  </si>
  <si>
    <t>Mandatory State/Formula Grants</t>
  </si>
  <si>
    <t>Federal</t>
  </si>
  <si>
    <t xml:space="preserve"> Minnesota</t>
    <phoneticPr fontId="8" type="noConversion"/>
  </si>
  <si>
    <t xml:space="preserve"> Mississippi</t>
    <phoneticPr fontId="8" type="noConversion"/>
  </si>
  <si>
    <t xml:space="preserve"> Missouri</t>
    <phoneticPr fontId="8" type="noConversion"/>
  </si>
  <si>
    <t xml:space="preserve"> Montana</t>
    <phoneticPr fontId="8" type="noConversion"/>
  </si>
  <si>
    <t xml:space="preserve"> Nebraska</t>
  </si>
  <si>
    <t xml:space="preserve"> Nevada</t>
  </si>
  <si>
    <t xml:space="preserve"> New Hampshire</t>
  </si>
  <si>
    <t xml:space="preserve"> New Jersey</t>
  </si>
  <si>
    <t xml:space="preserve"> New Mexico</t>
  </si>
  <si>
    <t xml:space="preserve"> New York</t>
  </si>
  <si>
    <t xml:space="preserve"> North Carolina</t>
  </si>
  <si>
    <t xml:space="preserve"> North Dakota</t>
  </si>
  <si>
    <t xml:space="preserve"> Ohio</t>
  </si>
  <si>
    <t xml:space="preserve"> Oklahoma</t>
  </si>
  <si>
    <t xml:space="preserve"> Oregon</t>
  </si>
  <si>
    <t xml:space="preserve"> Pennsylvania</t>
  </si>
  <si>
    <t xml:space="preserve"> Rhode Island</t>
  </si>
  <si>
    <t xml:space="preserve"> South Carolina</t>
  </si>
  <si>
    <t xml:space="preserve"> South Dakota</t>
  </si>
  <si>
    <t xml:space="preserve"> Tennessee</t>
  </si>
  <si>
    <t xml:space="preserve"> Texas</t>
  </si>
  <si>
    <t xml:space="preserve"> Utah</t>
  </si>
  <si>
    <t>Source: http://www.317coalition.org/documents/ImmunizationRespiratoryDiseases_CDC_CJ.pdf</t>
  </si>
  <si>
    <t>Child Welfare - TITLE XX</t>
  </si>
  <si>
    <t>Juvenile Justice</t>
  </si>
  <si>
    <t>Child Care Credit - Fed</t>
  </si>
  <si>
    <t>Child Tax Credit-Fed</t>
  </si>
  <si>
    <t>Additional Child Credit-Fed</t>
  </si>
  <si>
    <t>EITC-Fed</t>
  </si>
  <si>
    <t>EITC-State</t>
  </si>
  <si>
    <t>Child Care Credit - State</t>
  </si>
  <si>
    <t>missing</t>
  </si>
  <si>
    <t>various</t>
  </si>
  <si>
    <t>Other State Tax Credits</t>
  </si>
  <si>
    <t>Total Tax Credits</t>
  </si>
  <si>
    <t>Tax Credits</t>
  </si>
  <si>
    <t>Total Both Programs and Convert to 000s</t>
  </si>
  <si>
    <t>New York City</t>
  </si>
  <si>
    <t>Highest Cost per Confinement Options as reported in 2014</t>
  </si>
  <si>
    <t>Cost per year</t>
  </si>
  <si>
    <t>Total Expenditures shown in $000s</t>
  </si>
  <si>
    <t>Children in Confinement 2011</t>
  </si>
  <si>
    <t>Kids times Cost in 000s</t>
  </si>
  <si>
    <t>Child &amp; Adult Care Food Program</t>
  </si>
  <si>
    <t>Total Spending</t>
    <phoneticPr fontId="8" type="noConversion"/>
  </si>
  <si>
    <t>Source: http://www.acf.hhs.gov/sites/default/files/ocs/ssbg_annual_report_2012_final7.pdf</t>
    <phoneticPr fontId="8" type="noConversion"/>
  </si>
  <si>
    <t xml:space="preserve"> Vermont</t>
  </si>
  <si>
    <t xml:space="preserve"> Virginia</t>
  </si>
  <si>
    <t xml:space="preserve"> Washington</t>
  </si>
  <si>
    <t xml:space="preserve"> West Virginia</t>
  </si>
  <si>
    <t xml:space="preserve"> Wisconsin</t>
  </si>
  <si>
    <t xml:space="preserve"> Wyoming</t>
  </si>
  <si>
    <t>Total</t>
    <phoneticPr fontId="8" type="noConversion"/>
  </si>
  <si>
    <t>Over 18</t>
  </si>
  <si>
    <t>% for Children</t>
  </si>
  <si>
    <t>Unallocated</t>
  </si>
  <si>
    <t>Total for Kids</t>
  </si>
  <si>
    <t>Unallocated for Kids</t>
  </si>
  <si>
    <t>in 000s</t>
  </si>
  <si>
    <t>Maternal &amp; Child Health Block Grant</t>
  </si>
  <si>
    <t>Less: Head Start</t>
  </si>
  <si>
    <t>Less: Pre School</t>
  </si>
  <si>
    <t>Full Dollars</t>
  </si>
  <si>
    <t>K-12 Adjusted Total</t>
  </si>
  <si>
    <t>Nutrition (SNAP, WIC, CACFP)</t>
  </si>
  <si>
    <t xml:space="preserve">Child Welfare State and Local Share </t>
  </si>
  <si>
    <t>State Spending</t>
  </si>
  <si>
    <t>Local Spending</t>
  </si>
  <si>
    <t>Total Spending</t>
  </si>
  <si>
    <t>Ages 5-11</t>
  </si>
  <si>
    <t>Ages12-18</t>
  </si>
  <si>
    <t>Total 5-18</t>
  </si>
  <si>
    <t>Ages 3-4+</t>
  </si>
  <si>
    <t>Ages 5+</t>
  </si>
  <si>
    <t># kids 3 and 4</t>
  </si>
  <si>
    <t># kids 5+</t>
  </si>
  <si>
    <t># kids under 3</t>
  </si>
  <si>
    <t>Total # kids</t>
  </si>
  <si>
    <t>Spending by age in thousands</t>
  </si>
  <si>
    <t>$ thousands</t>
  </si>
  <si>
    <t>Ages 12 to 18</t>
  </si>
  <si>
    <t>Ages 5 to 11</t>
  </si>
  <si>
    <t>Ages 0 to 4</t>
  </si>
  <si>
    <t>&lt;3</t>
  </si>
  <si>
    <t>3 &amp; 4</t>
  </si>
  <si>
    <t>Total 0-4</t>
  </si>
  <si>
    <t>Under 3</t>
  </si>
  <si>
    <t>Ages 3 &amp; 4</t>
  </si>
  <si>
    <t>All Kids Population - Used to divide the under 5 share of low income pop</t>
  </si>
  <si>
    <t>Ages 12-18</t>
  </si>
  <si>
    <t>As calculated by the team in the file Title XX Spending 2011-2012 CORRECTED VERSION</t>
  </si>
  <si>
    <t>FFY 2011-12</t>
  </si>
  <si>
    <t>State % of Federal EITC Credit</t>
  </si>
  <si>
    <t>Non-EITC Credits</t>
  </si>
  <si>
    <t>EITC</t>
  </si>
  <si>
    <t>EITC Refundable - Fed DO NOT USE</t>
  </si>
  <si>
    <t>Calculated</t>
  </si>
  <si>
    <t>5 plus 6-11</t>
  </si>
  <si>
    <t>12 to 19</t>
  </si>
  <si>
    <t>All Kids Population - Used to divide the 2-5 group</t>
  </si>
  <si>
    <t>Age 5</t>
  </si>
  <si>
    <t>Share under 3</t>
  </si>
  <si>
    <t>Share 3-4</t>
  </si>
  <si>
    <t>Share Age 5</t>
  </si>
  <si>
    <t>Recast share under 3</t>
  </si>
  <si>
    <t>Recast share 3 and 4</t>
  </si>
  <si>
    <t>Recast share Age 5</t>
  </si>
  <si>
    <t>Age 2</t>
  </si>
  <si>
    <t>Share for Pregnant Women</t>
  </si>
  <si>
    <t>Spending for Pregnant Women</t>
  </si>
  <si>
    <t>Remaining Spending (for Children)</t>
  </si>
  <si>
    <t>Preschool</t>
  </si>
  <si>
    <t>K-12 Educ</t>
  </si>
  <si>
    <t>Excludes Medicaid, TANF and other double count sources</t>
  </si>
  <si>
    <t>TANF AGE DATA</t>
  </si>
  <si>
    <t>Average Monthly Percentages of Children in Care by Age Group</t>
  </si>
  <si>
    <t>6 to 13</t>
  </si>
  <si>
    <t>13+</t>
  </si>
  <si>
    <t>0-2</t>
  </si>
  <si>
    <t xml:space="preserve"> 3-4</t>
  </si>
  <si>
    <t xml:space="preserve"> 5-11</t>
  </si>
  <si>
    <t xml:space="preserve"> 12-18</t>
  </si>
  <si>
    <t>Foster Care</t>
  </si>
  <si>
    <t>Adoption Assistance</t>
  </si>
  <si>
    <t>Chafee</t>
  </si>
  <si>
    <t>Demonstration Waivers</t>
  </si>
  <si>
    <t>Guardianship</t>
  </si>
  <si>
    <t>Proportion of Children in Foster Care</t>
  </si>
  <si>
    <t>Proportion of Children Adopted</t>
  </si>
  <si>
    <t>Spending by Age Group</t>
  </si>
  <si>
    <t>Foster Care, Adoption Assistance, Guardianship (Title IV-E)</t>
  </si>
  <si>
    <t>Spending By Age in Full Dollars</t>
  </si>
  <si>
    <t>WIC - Nutrition Services and Administration</t>
  </si>
  <si>
    <t>WIC - Food Costs</t>
  </si>
  <si>
    <t>Total WIC</t>
  </si>
  <si>
    <t>SNAP Participants 0-4</t>
  </si>
  <si>
    <t>School Age Children 5-17</t>
  </si>
  <si>
    <t>SNAP Share 0-4</t>
  </si>
  <si>
    <t>SNAP Share 5-17</t>
  </si>
  <si>
    <t>Used to Split SNAP 5-17 age group</t>
  </si>
  <si>
    <t>Calculated SNAP Share for ages  5 to 11</t>
  </si>
  <si>
    <t>Calculated SNAP Share for ages 12 to 18</t>
  </si>
  <si>
    <t>Calculated SNAP Share for ages 0 to 2</t>
  </si>
  <si>
    <t>Calculated SNAP Share for ages 3 and 4</t>
  </si>
  <si>
    <t>SUM SPENDING BY AGE GROUP</t>
  </si>
  <si>
    <t xml:space="preserve"> 0 TO 2</t>
  </si>
  <si>
    <t>3 TO 4</t>
  </si>
  <si>
    <t>5 TO 11</t>
  </si>
  <si>
    <t>12 TO 18</t>
  </si>
  <si>
    <t>Share of WIC for Pregnant Women -- goes to Prenantal, do not allocate by age</t>
  </si>
  <si>
    <t>WIC -- After Share for Pregnant Women is Set Aside</t>
  </si>
  <si>
    <t># Infants plus Children aged 0 to 2 years</t>
  </si>
  <si>
    <t># Children aged 3 and 4 years</t>
  </si>
  <si>
    <t>Share Infants plus Children aged 0 to 2 years</t>
  </si>
  <si>
    <t>Share Children aged 3 and 4 years</t>
  </si>
  <si>
    <t>Sum of Infants and Children</t>
  </si>
  <si>
    <t>Head Start &amp; Early Intervention</t>
  </si>
  <si>
    <t>Total Disabled 0 to 17</t>
  </si>
  <si>
    <t>Kaiser reported % Spending on Disabled in 2011</t>
  </si>
  <si>
    <t>Share of Medicaid Spent on Disabled Children</t>
  </si>
  <si>
    <t>Kaiser reported % Spending on non-disabled Children in 2011</t>
  </si>
  <si>
    <t>Medicaid Spending on non-disabled Children</t>
  </si>
  <si>
    <t>Medicaid spending on all children</t>
  </si>
  <si>
    <t>OJJDP FY 2012 Awards</t>
  </si>
  <si>
    <t>Total Spending for Juvenile Justice</t>
  </si>
  <si>
    <t>Medicaid (including costs of disabled children)</t>
  </si>
  <si>
    <t>Immun-izations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</si>
</sst>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_(* #,##0.0_);_(* \(#,##0.0\);_(* &quot;-&quot;??_);_(@_)"/>
    <numFmt numFmtId="168" formatCode="_(* #,##0.0_);_(* \(#,##0.0\);_(* &quot;-&quot;?_);_(@_)"/>
  </numFmts>
  <fonts count="14"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u/>
      <sz val="11"/>
      <color theme="11"/>
      <name val="Calibri"/>
      <family val="2"/>
      <scheme val="minor"/>
    </font>
    <font>
      <sz val="12"/>
      <color indexed="8"/>
      <name val="Cambria"/>
      <family val="1"/>
    </font>
    <font>
      <sz val="8"/>
      <name val="Verdana"/>
      <family val="2"/>
    </font>
    <font>
      <b/>
      <sz val="12"/>
      <color theme="1"/>
      <name val="Calibri"/>
      <family val="2"/>
      <scheme val="minor"/>
    </font>
    <font>
      <sz val="11"/>
      <color rgb="FF000000"/>
      <name val="Calibri"/>
      <family val="2"/>
      <scheme val="minor"/>
    </font>
    <font>
      <sz val="11"/>
      <name val="Calibri"/>
      <family val="2"/>
    </font>
    <font>
      <sz val="11"/>
      <color theme="1"/>
      <name val="Calibri"/>
      <family val="2"/>
    </font>
    <font>
      <sz val="11"/>
      <color rgb="FF00610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
      <patternFill patternType="solid">
        <fgColor rgb="FFFF66FF"/>
        <bgColor indexed="64"/>
      </patternFill>
    </fill>
    <fill>
      <patternFill patternType="solid">
        <fgColor rgb="FFC6EFCE"/>
      </patternFill>
    </fill>
  </fills>
  <borders count="20">
    <border>
      <left/>
      <right/>
      <top/>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hair">
        <color auto="1"/>
      </left>
      <right style="hair">
        <color auto="1"/>
      </right>
      <top style="hair">
        <color auto="1"/>
      </top>
      <bottom style="hair">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right style="thin">
        <color auto="1"/>
      </right>
      <top style="medium">
        <color auto="1"/>
      </top>
      <bottom style="medium">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double">
        <color auto="1"/>
      </top>
      <bottom style="double">
        <color auto="1"/>
      </bottom>
      <diagonal/>
    </border>
    <border>
      <left style="hair">
        <color auto="1"/>
      </left>
      <right style="hair">
        <color auto="1"/>
      </right>
      <top/>
      <bottom/>
      <diagonal/>
    </border>
    <border>
      <left style="thick">
        <color rgb="FF00B0F0"/>
      </left>
      <right/>
      <top style="thick">
        <color rgb="FF00B0F0"/>
      </top>
      <bottom/>
      <diagonal/>
    </border>
    <border>
      <left/>
      <right/>
      <top style="thick">
        <color rgb="FF00B0F0"/>
      </top>
      <bottom/>
      <diagonal/>
    </border>
    <border>
      <left/>
      <right style="thick">
        <color rgb="FF00B0F0"/>
      </right>
      <top style="thick">
        <color rgb="FF00B0F0"/>
      </top>
      <bottom/>
      <diagonal/>
    </border>
    <border>
      <left style="thick">
        <color rgb="FF00B0F0"/>
      </left>
      <right/>
      <top/>
      <bottom/>
      <diagonal/>
    </border>
    <border>
      <left/>
      <right style="thick">
        <color rgb="FF00B0F0"/>
      </right>
      <top/>
      <bottom/>
      <diagonal/>
    </border>
    <border>
      <left style="thick">
        <color rgb="FF00B0F0"/>
      </left>
      <right style="thick">
        <color rgb="FF00B0F0"/>
      </right>
      <top style="thick">
        <color rgb="FF00B0F0"/>
      </top>
      <bottom style="thick">
        <color rgb="FF00B0F0"/>
      </bottom>
      <diagonal/>
    </border>
  </borders>
  <cellStyleXfs count="7">
    <xf numFmtId="0" fontId="0" fillId="0" borderId="0"/>
    <xf numFmtId="43" fontId="2" fillId="0" borderId="0" applyFont="0" applyFill="0" applyBorder="0" applyAlignment="0" applyProtection="0"/>
    <xf numFmtId="9" fontId="2"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4" fontId="2" fillId="0" borderId="0" applyFont="0" applyFill="0" applyBorder="0" applyAlignment="0" applyProtection="0"/>
    <xf numFmtId="0" fontId="13" fillId="6" borderId="0" applyNumberFormat="0" applyBorder="0" applyAlignment="0" applyProtection="0"/>
  </cellStyleXfs>
  <cellXfs count="122">
    <xf numFmtId="0" fontId="0" fillId="0" borderId="0" xfId="0"/>
    <xf numFmtId="0" fontId="4" fillId="0" borderId="0" xfId="0" applyFont="1"/>
    <xf numFmtId="0" fontId="4" fillId="0" borderId="0" xfId="0" applyFont="1" applyAlignment="1">
      <alignment horizontal="left" vertical="center"/>
    </xf>
    <xf numFmtId="0" fontId="0" fillId="2" borderId="0" xfId="0" applyFill="1" applyAlignment="1">
      <alignment horizontal="center" vertical="center" wrapText="1"/>
    </xf>
    <xf numFmtId="164" fontId="0" fillId="0" borderId="0" xfId="1" applyNumberFormat="1" applyFont="1"/>
    <xf numFmtId="164" fontId="0" fillId="2" borderId="0" xfId="1" applyNumberFormat="1" applyFont="1" applyFill="1" applyAlignment="1">
      <alignment horizontal="center" vertical="center" wrapText="1"/>
    </xf>
    <xf numFmtId="164" fontId="0" fillId="0" borderId="0" xfId="0" applyNumberFormat="1"/>
    <xf numFmtId="9" fontId="0" fillId="0" borderId="0" xfId="2" applyFont="1"/>
    <xf numFmtId="0" fontId="0" fillId="2" borderId="0" xfId="0" applyFill="1" applyAlignment="1">
      <alignment horizontal="center" vertical="center"/>
    </xf>
    <xf numFmtId="164" fontId="0" fillId="2" borderId="0" xfId="1" applyNumberFormat="1" applyFont="1" applyFill="1" applyAlignment="1">
      <alignment horizontal="center" vertical="center"/>
    </xf>
    <xf numFmtId="164" fontId="0" fillId="0" borderId="0" xfId="1" applyNumberFormat="1" applyFont="1" applyAlignment="1">
      <alignment horizontal="right"/>
    </xf>
    <xf numFmtId="0" fontId="0" fillId="2" borderId="0" xfId="0" applyFill="1" applyAlignment="1">
      <alignment wrapText="1"/>
    </xf>
    <xf numFmtId="0" fontId="0" fillId="2" borderId="0" xfId="0" applyFill="1" applyAlignment="1">
      <alignment horizontal="center" wrapText="1"/>
    </xf>
    <xf numFmtId="164" fontId="0" fillId="0" borderId="0" xfId="1" applyNumberFormat="1" applyFont="1" applyAlignment="1">
      <alignment horizontal="center"/>
    </xf>
    <xf numFmtId="9" fontId="0" fillId="0" borderId="0" xfId="2" applyFont="1" applyAlignment="1">
      <alignment horizontal="right"/>
    </xf>
    <xf numFmtId="9" fontId="0" fillId="2" borderId="0" xfId="2" applyFont="1" applyFill="1" applyAlignment="1">
      <alignment horizontal="center" vertical="center" wrapText="1"/>
    </xf>
    <xf numFmtId="165" fontId="0" fillId="0" borderId="0" xfId="2" applyNumberFormat="1" applyFont="1"/>
    <xf numFmtId="0" fontId="0" fillId="0" borderId="0" xfId="0" applyBorder="1"/>
    <xf numFmtId="0" fontId="0" fillId="0" borderId="0" xfId="0" applyFill="1" applyBorder="1"/>
    <xf numFmtId="164" fontId="0" fillId="2" borderId="0" xfId="1" applyNumberFormat="1" applyFont="1" applyFill="1" applyAlignment="1">
      <alignment horizontal="center" wrapText="1"/>
    </xf>
    <xf numFmtId="164" fontId="0" fillId="0" borderId="0" xfId="1" applyNumberFormat="1" applyFont="1" applyBorder="1"/>
    <xf numFmtId="164" fontId="0" fillId="0" borderId="0" xfId="1" applyNumberFormat="1" applyFont="1" applyFill="1" applyBorder="1"/>
    <xf numFmtId="164" fontId="0" fillId="0" borderId="1" xfId="1" applyNumberFormat="1" applyFont="1" applyBorder="1" applyAlignment="1">
      <alignment horizontal="center"/>
    </xf>
    <xf numFmtId="0" fontId="0" fillId="3" borderId="0" xfId="0" applyFill="1"/>
    <xf numFmtId="0" fontId="4" fillId="0" borderId="0" xfId="0" applyFont="1" applyAlignment="1">
      <alignment horizontal="left"/>
    </xf>
    <xf numFmtId="164" fontId="5" fillId="0" borderId="0" xfId="3" applyNumberFormat="1"/>
    <xf numFmtId="164" fontId="0" fillId="4" borderId="0" xfId="1" applyNumberFormat="1" applyFont="1" applyFill="1"/>
    <xf numFmtId="164" fontId="0" fillId="0" borderId="0" xfId="1" applyNumberFormat="1" applyFont="1" applyFill="1"/>
    <xf numFmtId="0" fontId="0" fillId="4" borderId="0" xfId="0" applyFill="1"/>
    <xf numFmtId="43" fontId="0" fillId="0" borderId="0" xfId="1" applyNumberFormat="1" applyFont="1"/>
    <xf numFmtId="164" fontId="0" fillId="3" borderId="0" xfId="1" quotePrefix="1" applyNumberFormat="1" applyFont="1" applyFill="1"/>
    <xf numFmtId="43" fontId="0" fillId="2" borderId="0" xfId="1" applyNumberFormat="1" applyFont="1" applyFill="1" applyAlignment="1">
      <alignment horizontal="center" vertical="center" wrapText="1"/>
    </xf>
    <xf numFmtId="43" fontId="0" fillId="0" borderId="0" xfId="1" applyNumberFormat="1" applyFont="1" applyAlignment="1">
      <alignment vertical="center"/>
    </xf>
    <xf numFmtId="4" fontId="0" fillId="0" borderId="0" xfId="0" applyNumberFormat="1"/>
    <xf numFmtId="0" fontId="1" fillId="0" borderId="0" xfId="0" applyFont="1"/>
    <xf numFmtId="164" fontId="0" fillId="0" borderId="5" xfId="1" applyNumberFormat="1" applyFont="1" applyBorder="1"/>
    <xf numFmtId="164" fontId="0" fillId="0" borderId="5" xfId="1" applyNumberFormat="1" applyFont="1" applyBorder="1" applyAlignment="1">
      <alignment horizontal="right"/>
    </xf>
    <xf numFmtId="164" fontId="0" fillId="3" borderId="5" xfId="1" applyNumberFormat="1" applyFont="1" applyFill="1" applyBorder="1"/>
    <xf numFmtId="0" fontId="0" fillId="0" borderId="6" xfId="0" applyBorder="1"/>
    <xf numFmtId="164" fontId="0" fillId="0" borderId="7" xfId="1" applyNumberFormat="1" applyFont="1" applyBorder="1"/>
    <xf numFmtId="164" fontId="0" fillId="0" borderId="8" xfId="1" applyNumberFormat="1" applyFont="1" applyBorder="1"/>
    <xf numFmtId="0" fontId="0" fillId="0" borderId="5" xfId="0" applyBorder="1"/>
    <xf numFmtId="0" fontId="0" fillId="3" borderId="5" xfId="0" applyFill="1" applyBorder="1"/>
    <xf numFmtId="165" fontId="0" fillId="2" borderId="0" xfId="2" applyNumberFormat="1" applyFont="1" applyFill="1" applyAlignment="1">
      <alignment horizontal="center" vertical="center" wrapText="1"/>
    </xf>
    <xf numFmtId="9" fontId="0" fillId="0" borderId="0" xfId="0" applyNumberFormat="1"/>
    <xf numFmtId="3" fontId="0" fillId="0" borderId="0" xfId="0" applyNumberFormat="1"/>
    <xf numFmtId="43" fontId="0" fillId="0" borderId="0" xfId="1" applyFont="1" applyAlignment="1">
      <alignment horizontal="right"/>
    </xf>
    <xf numFmtId="43" fontId="0" fillId="0" borderId="0" xfId="1" applyFont="1" applyAlignment="1">
      <alignment horizontal="right" wrapText="1"/>
    </xf>
    <xf numFmtId="43" fontId="7" fillId="0" borderId="0" xfId="1" applyFont="1" applyBorder="1" applyAlignment="1">
      <alignment horizontal="right" vertical="center" wrapText="1"/>
    </xf>
    <xf numFmtId="43" fontId="5" fillId="0" borderId="0" xfId="1" applyFont="1" applyAlignment="1">
      <alignment horizontal="right"/>
    </xf>
    <xf numFmtId="43" fontId="0" fillId="0" borderId="0" xfId="1" applyFont="1" applyAlignment="1">
      <alignment horizontal="center" wrapText="1"/>
    </xf>
    <xf numFmtId="10" fontId="0" fillId="0" borderId="0" xfId="2" applyNumberFormat="1" applyFont="1" applyAlignment="1">
      <alignment horizontal="right"/>
    </xf>
    <xf numFmtId="0" fontId="0" fillId="0" borderId="0" xfId="0" applyAlignment="1">
      <alignment horizontal="center" wrapText="1"/>
    </xf>
    <xf numFmtId="0" fontId="10" fillId="0" borderId="0" xfId="0" applyFont="1"/>
    <xf numFmtId="9" fontId="0" fillId="0" borderId="0" xfId="2" applyFont="1" applyFill="1" applyAlignment="1">
      <alignment horizontal="right"/>
    </xf>
    <xf numFmtId="0" fontId="0" fillId="3" borderId="0" xfId="0" applyFill="1" applyAlignment="1">
      <alignment horizontal="center"/>
    </xf>
    <xf numFmtId="164" fontId="0" fillId="0" borderId="0" xfId="1" applyNumberFormat="1" applyFont="1" applyFill="1" applyAlignment="1">
      <alignment horizontal="center"/>
    </xf>
    <xf numFmtId="0" fontId="0" fillId="0" borderId="0" xfId="0" applyAlignment="1">
      <alignment wrapText="1"/>
    </xf>
    <xf numFmtId="164" fontId="0" fillId="3" borderId="0" xfId="0" applyNumberFormat="1" applyFill="1"/>
    <xf numFmtId="0" fontId="9" fillId="0" borderId="0" xfId="0" applyFont="1" applyAlignment="1">
      <alignment wrapText="1"/>
    </xf>
    <xf numFmtId="166" fontId="0" fillId="0" borderId="0" xfId="5" applyNumberFormat="1" applyFont="1"/>
    <xf numFmtId="166" fontId="3" fillId="0" borderId="0" xfId="5" applyNumberFormat="1" applyFont="1" applyAlignment="1">
      <alignment horizontal="center" vertical="center" wrapText="1"/>
    </xf>
    <xf numFmtId="166" fontId="0" fillId="3" borderId="0" xfId="5" applyNumberFormat="1" applyFont="1" applyFill="1"/>
    <xf numFmtId="164" fontId="3" fillId="0" borderId="0" xfId="1" applyNumberFormat="1" applyFont="1" applyAlignment="1">
      <alignment horizontal="center" vertical="center" wrapText="1"/>
    </xf>
    <xf numFmtId="3" fontId="11" fillId="0" borderId="5" xfId="0" applyNumberFormat="1" applyFont="1" applyBorder="1"/>
    <xf numFmtId="3" fontId="11" fillId="3" borderId="5" xfId="0" applyNumberFormat="1" applyFont="1" applyFill="1" applyBorder="1"/>
    <xf numFmtId="0" fontId="3" fillId="0" borderId="0" xfId="0" applyFont="1" applyAlignment="1">
      <alignment horizontal="center" vertical="center" wrapText="1"/>
    </xf>
    <xf numFmtId="0" fontId="3" fillId="0" borderId="0" xfId="0" applyFont="1" applyAlignment="1">
      <alignment horizontal="center" vertical="center"/>
    </xf>
    <xf numFmtId="9" fontId="0" fillId="0" borderId="0" xfId="2" applyFont="1" applyFill="1"/>
    <xf numFmtId="0" fontId="0" fillId="0" borderId="0" xfId="0" applyFill="1"/>
    <xf numFmtId="0" fontId="0" fillId="0" borderId="0" xfId="0" applyAlignment="1">
      <alignment horizontal="center" vertical="center" wrapText="1"/>
    </xf>
    <xf numFmtId="16" fontId="0" fillId="2" borderId="0" xfId="0" applyNumberFormat="1" applyFill="1" applyAlignment="1">
      <alignment horizontal="center" vertical="center" wrapText="1"/>
    </xf>
    <xf numFmtId="0" fontId="0" fillId="5" borderId="0" xfId="0" applyFill="1" applyAlignment="1">
      <alignment horizontal="center" vertical="center" wrapText="1"/>
    </xf>
    <xf numFmtId="165" fontId="0" fillId="5" borderId="0" xfId="0" applyNumberFormat="1" applyFill="1"/>
    <xf numFmtId="10" fontId="0" fillId="0" borderId="0" xfId="0" applyNumberFormat="1"/>
    <xf numFmtId="43" fontId="0" fillId="0" borderId="0" xfId="1" applyFont="1"/>
    <xf numFmtId="0" fontId="12" fillId="0" borderId="0" xfId="0" applyFont="1"/>
    <xf numFmtId="165" fontId="0" fillId="5" borderId="0" xfId="2" applyNumberFormat="1" applyFont="1" applyFill="1"/>
    <xf numFmtId="165" fontId="0" fillId="0" borderId="0" xfId="2" applyNumberFormat="1" applyFont="1" applyFill="1"/>
    <xf numFmtId="165" fontId="0" fillId="0" borderId="0" xfId="0" applyNumberFormat="1" applyFill="1"/>
    <xf numFmtId="0" fontId="0" fillId="0" borderId="10" xfId="0" applyBorder="1"/>
    <xf numFmtId="164" fontId="0" fillId="0" borderId="10" xfId="1" applyNumberFormat="1" applyFont="1" applyBorder="1"/>
    <xf numFmtId="164" fontId="0" fillId="0" borderId="11" xfId="1" applyNumberFormat="1" applyFont="1" applyBorder="1"/>
    <xf numFmtId="164" fontId="0" fillId="0" borderId="10" xfId="0" applyNumberFormat="1" applyBorder="1"/>
    <xf numFmtId="164" fontId="0" fillId="0" borderId="11" xfId="0" applyNumberFormat="1" applyBorder="1"/>
    <xf numFmtId="0" fontId="0" fillId="0" borderId="12" xfId="0" applyBorder="1"/>
    <xf numFmtId="164" fontId="0" fillId="0" borderId="5" xfId="0" applyNumberFormat="1" applyBorder="1"/>
    <xf numFmtId="165" fontId="0" fillId="0" borderId="0" xfId="0" applyNumberFormat="1"/>
    <xf numFmtId="16" fontId="0" fillId="2" borderId="0" xfId="0" applyNumberFormat="1" applyFill="1" applyAlignment="1">
      <alignment horizontal="center" wrapText="1"/>
    </xf>
    <xf numFmtId="9" fontId="0" fillId="5" borderId="0" xfId="0" applyNumberFormat="1" applyFill="1"/>
    <xf numFmtId="9" fontId="0" fillId="0" borderId="0" xfId="0" applyNumberFormat="1" applyFill="1"/>
    <xf numFmtId="0" fontId="0" fillId="0" borderId="13" xfId="0" applyFill="1" applyBorder="1"/>
    <xf numFmtId="167" fontId="0" fillId="0" borderId="0" xfId="1" applyNumberFormat="1" applyFont="1"/>
    <xf numFmtId="167" fontId="0" fillId="5" borderId="0" xfId="1" applyNumberFormat="1" applyFont="1" applyFill="1"/>
    <xf numFmtId="167" fontId="0" fillId="2" borderId="0" xfId="1" applyNumberFormat="1" applyFont="1" applyFill="1" applyAlignment="1">
      <alignment horizontal="center" vertical="center" wrapText="1"/>
    </xf>
    <xf numFmtId="168" fontId="0" fillId="0" borderId="0" xfId="0" applyNumberFormat="1"/>
    <xf numFmtId="9" fontId="0" fillId="5" borderId="0" xfId="2" applyFont="1" applyFill="1"/>
    <xf numFmtId="164" fontId="0" fillId="2" borderId="0" xfId="1" applyNumberFormat="1" applyFont="1" applyFill="1" applyAlignment="1">
      <alignment horizontal="center"/>
    </xf>
    <xf numFmtId="164" fontId="0" fillId="0" borderId="14" xfId="1" applyNumberFormat="1" applyFont="1" applyBorder="1"/>
    <xf numFmtId="164" fontId="0" fillId="0" borderId="15" xfId="1" applyNumberFormat="1" applyFont="1" applyBorder="1"/>
    <xf numFmtId="164" fontId="0" fillId="0" borderId="16" xfId="1" applyNumberFormat="1" applyFont="1" applyBorder="1"/>
    <xf numFmtId="164" fontId="0" fillId="0" borderId="17" xfId="1" applyNumberFormat="1" applyFont="1" applyBorder="1"/>
    <xf numFmtId="164" fontId="0" fillId="0" borderId="18" xfId="1" applyNumberFormat="1" applyFont="1" applyBorder="1"/>
    <xf numFmtId="164" fontId="0" fillId="2" borderId="17" xfId="1" applyNumberFormat="1" applyFont="1" applyFill="1" applyBorder="1" applyAlignment="1">
      <alignment horizontal="center" vertical="center" wrapText="1"/>
    </xf>
    <xf numFmtId="164" fontId="0" fillId="2" borderId="0" xfId="1" applyNumberFormat="1" applyFont="1" applyFill="1" applyBorder="1" applyAlignment="1">
      <alignment horizontal="center" vertical="center" wrapText="1"/>
    </xf>
    <xf numFmtId="164" fontId="0" fillId="2" borderId="18" xfId="1" applyNumberFormat="1" applyFont="1" applyFill="1" applyBorder="1" applyAlignment="1">
      <alignment horizontal="center" vertical="center" wrapText="1"/>
    </xf>
    <xf numFmtId="164" fontId="0" fillId="4" borderId="0" xfId="0" applyNumberFormat="1" applyFill="1"/>
    <xf numFmtId="9" fontId="0" fillId="4" borderId="0" xfId="2" applyFont="1" applyFill="1"/>
    <xf numFmtId="164" fontId="0" fillId="3" borderId="5" xfId="0" applyNumberFormat="1" applyFill="1" applyBorder="1"/>
    <xf numFmtId="0" fontId="12" fillId="0" borderId="0" xfId="0" applyFont="1" applyFill="1" applyBorder="1"/>
    <xf numFmtId="10" fontId="0" fillId="0" borderId="0" xfId="2" applyNumberFormat="1" applyFont="1"/>
    <xf numFmtId="164" fontId="0" fillId="0" borderId="19" xfId="1" applyNumberFormat="1" applyFont="1" applyBorder="1"/>
    <xf numFmtId="9" fontId="0" fillId="2" borderId="0" xfId="2" applyFont="1" applyFill="1" applyAlignment="1">
      <alignment horizontal="center" wrapText="1"/>
    </xf>
    <xf numFmtId="0" fontId="3" fillId="0" borderId="0" xfId="0" applyFont="1" applyAlignment="1">
      <alignment horizontal="center" wrapText="1"/>
    </xf>
    <xf numFmtId="164" fontId="3" fillId="0" borderId="0" xfId="1" applyNumberFormat="1" applyFont="1" applyAlignment="1">
      <alignment horizontal="center" wrapText="1"/>
    </xf>
    <xf numFmtId="164" fontId="3" fillId="2" borderId="2" xfId="1" applyNumberFormat="1" applyFont="1" applyFill="1" applyBorder="1" applyAlignment="1">
      <alignment horizontal="center" wrapText="1"/>
    </xf>
    <xf numFmtId="164" fontId="3" fillId="2" borderId="9" xfId="1" applyNumberFormat="1" applyFont="1" applyFill="1" applyBorder="1" applyAlignment="1">
      <alignment horizontal="center" wrapText="1"/>
    </xf>
    <xf numFmtId="164" fontId="3" fillId="2" borderId="3" xfId="1" applyNumberFormat="1" applyFont="1" applyFill="1" applyBorder="1" applyAlignment="1">
      <alignment horizontal="center" wrapText="1"/>
    </xf>
    <xf numFmtId="164" fontId="3" fillId="2" borderId="4" xfId="1" applyNumberFormat="1" applyFont="1" applyFill="1" applyBorder="1" applyAlignment="1">
      <alignment horizontal="center" wrapText="1"/>
    </xf>
    <xf numFmtId="0" fontId="0" fillId="2" borderId="0" xfId="0" applyFill="1"/>
    <xf numFmtId="9" fontId="13" fillId="6" borderId="0" xfId="6" applyNumberFormat="1"/>
    <xf numFmtId="0" fontId="0" fillId="0" borderId="0" xfId="0" applyAlignment="1">
      <alignment wrapText="1"/>
    </xf>
  </cellXfs>
  <cellStyles count="7">
    <cellStyle name="Comma" xfId="1" builtinId="3"/>
    <cellStyle name="Currency" xfId="5" builtinId="4"/>
    <cellStyle name="Followed Hyperlink" xfId="4" builtinId="9" hidden="1"/>
    <cellStyle name="Good" xfId="6" builtinId="26"/>
    <cellStyle name="Hyperlink" xfId="3" builtinId="8"/>
    <cellStyle name="Normal" xfId="0" builtinId="0"/>
    <cellStyle name="Percent" xfId="2" builtinId="5"/>
  </cellStyles>
  <dxfs count="0"/>
  <tableStyles count="0" defaultTableStyle="TableStyleMedium2" defaultPivotStyle="PivotStyleMedium4"/>
  <colors>
    <mruColors>
      <color rgb="FFCCFF33"/>
      <color rgb="FF7DF569"/>
      <color rgb="FFFF66FF"/>
      <color rgb="FF44F1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theme" Target="theme/theme1.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styles" Target="styles.xml"/><Relationship Id="rId34" Type="http://schemas.openxmlformats.org/officeDocument/2006/relationships/sharedStrings" Target="sharedStrings.xml"/><Relationship Id="rId35"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7.xml.rels><?xml version="1.0" encoding="UTF-8" standalone="yes"?>
<Relationships xmlns="http://schemas.openxmlformats.org/package/2006/relationships"><Relationship Id="rId1" Type="http://schemas.openxmlformats.org/officeDocument/2006/relationships/hyperlink" Target="http://www.nri-incdata.org/RevExp2012/T13.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acf.hhs.gov/sites/default/files/cb/cm20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tabColor rgb="FF44F127"/>
    <pageSetUpPr fitToPage="1"/>
  </sheetPr>
  <dimension ref="A1:T58"/>
  <sheetViews>
    <sheetView tabSelected="1" topLeftCell="A2" workbookViewId="0">
      <selection activeCell="L37" sqref="L37"/>
    </sheetView>
  </sheetViews>
  <sheetFormatPr baseColWidth="10" defaultColWidth="8.83203125" defaultRowHeight="15" x14ac:dyDescent="0.2"/>
  <cols>
    <col min="1" max="1" width="17.5" customWidth="1"/>
    <col min="2" max="5" width="13.5" style="4" customWidth="1"/>
    <col min="6" max="7" width="12.6640625" style="4" customWidth="1"/>
    <col min="8" max="8" width="13.5" style="4" customWidth="1"/>
    <col min="9" max="14" width="12.6640625" style="4" customWidth="1"/>
    <col min="15" max="15" width="14" customWidth="1"/>
    <col min="16" max="17" width="12.6640625" style="4" customWidth="1"/>
    <col min="18" max="18" width="11.83203125" customWidth="1"/>
    <col min="19" max="19" width="13.83203125" style="4" customWidth="1"/>
    <col min="20" max="20" width="13.5" style="4" customWidth="1"/>
    <col min="21" max="21" width="5.5" customWidth="1"/>
  </cols>
  <sheetData>
    <row r="1" spans="1:20" s="11" customFormat="1" ht="120" customHeight="1" thickBot="1" x14ac:dyDescent="0.25">
      <c r="A1" s="115"/>
      <c r="B1" s="116" t="s">
        <v>291</v>
      </c>
      <c r="C1" s="116" t="s">
        <v>290</v>
      </c>
      <c r="D1" s="116" t="s">
        <v>335</v>
      </c>
      <c r="E1" s="116" t="s">
        <v>344</v>
      </c>
      <c r="F1" s="117" t="s">
        <v>131</v>
      </c>
      <c r="G1" s="117" t="s">
        <v>100</v>
      </c>
      <c r="H1" s="117" t="s">
        <v>345</v>
      </c>
      <c r="I1" s="117" t="s">
        <v>238</v>
      </c>
      <c r="J1" s="117" t="s">
        <v>309</v>
      </c>
      <c r="K1" s="117" t="s">
        <v>244</v>
      </c>
      <c r="L1" s="117" t="s">
        <v>46</v>
      </c>
      <c r="M1" s="117" t="s">
        <v>148</v>
      </c>
      <c r="N1" s="117" t="s">
        <v>147</v>
      </c>
      <c r="O1" s="117" t="s">
        <v>202</v>
      </c>
      <c r="P1" s="117" t="s">
        <v>140</v>
      </c>
      <c r="Q1" s="117" t="s">
        <v>243</v>
      </c>
      <c r="R1" s="117" t="s">
        <v>203</v>
      </c>
      <c r="S1" s="117" t="s">
        <v>214</v>
      </c>
      <c r="T1" s="118" t="s">
        <v>39</v>
      </c>
    </row>
    <row r="4" spans="1:20" x14ac:dyDescent="0.2">
      <c r="A4" s="41" t="s">
        <v>109</v>
      </c>
      <c r="B4" s="35">
        <f>+'K-12 Educ'!G4</f>
        <v>6823885.2640000004</v>
      </c>
      <c r="C4" s="35">
        <f>+PreSchool!B4</f>
        <v>19087</v>
      </c>
      <c r="D4" s="35">
        <f>+'Early Intervention'!B4+('Head Start'!B4*0.001)</f>
        <v>125717.736</v>
      </c>
      <c r="E4" s="35">
        <f>+Medicaid!J4</f>
        <v>1541040.48</v>
      </c>
      <c r="F4" s="35">
        <f>+CHIP!E4</f>
        <v>200800</v>
      </c>
      <c r="G4" s="35">
        <f>+'Mental Health'!H4</f>
        <v>63721.027638459062</v>
      </c>
      <c r="H4" s="35">
        <f>+Immunizations!E4</f>
        <v>64492.592000000004</v>
      </c>
      <c r="I4" s="35">
        <f>+MCHBG!E4</f>
        <v>36210</v>
      </c>
      <c r="J4" s="35">
        <f>+'Title IV-E'!B4</f>
        <v>43596</v>
      </c>
      <c r="K4" s="35">
        <f>+'CW - State and Local Share'!D4</f>
        <v>139432</v>
      </c>
      <c r="L4" s="35">
        <f>+'Child Care &amp; Dev Fd'!G4</f>
        <v>103709</v>
      </c>
      <c r="M4" s="35">
        <f>+'Title IV-B'!D4</f>
        <v>11846</v>
      </c>
      <c r="N4" s="35">
        <f>+'Title IV-D'!E4</f>
        <v>112358</v>
      </c>
      <c r="O4" s="64">
        <f>+'Title XX'!B4</f>
        <v>16831</v>
      </c>
      <c r="P4" s="35">
        <f>+TANF!E4</f>
        <v>168393</v>
      </c>
      <c r="Q4" s="35">
        <f>+Nutrition!M4</f>
        <v>1192874.04568</v>
      </c>
      <c r="R4" s="35">
        <f>+'Juvenile Justice'!H4</f>
        <v>62376.91</v>
      </c>
      <c r="S4" s="35">
        <f>+'Tax Credits'!M4</f>
        <v>2376657</v>
      </c>
      <c r="T4" s="35">
        <f t="shared" ref="T4:T35" si="0">SUM(B4:S4)</f>
        <v>13103027.05531846</v>
      </c>
    </row>
    <row r="5" spans="1:20" x14ac:dyDescent="0.2">
      <c r="A5" s="41" t="s">
        <v>110</v>
      </c>
      <c r="B5" s="35">
        <f>+'K-12 Educ'!G5</f>
        <v>2421472.4589999998</v>
      </c>
      <c r="C5" s="35">
        <f>+PreSchool!B5</f>
        <v>1700</v>
      </c>
      <c r="D5" s="35">
        <f>+'Early Intervention'!B5+('Head Start'!B5*0.001)</f>
        <v>23577.541000000001</v>
      </c>
      <c r="E5" s="35">
        <f>+Medicaid!J5</f>
        <v>451047.40999999992</v>
      </c>
      <c r="F5" s="35">
        <f>+CHIP!E5</f>
        <v>30400</v>
      </c>
      <c r="G5" s="35">
        <f>+'Mental Health'!H5</f>
        <v>105543.64754979995</v>
      </c>
      <c r="H5" s="35">
        <f>+Immunizations!E5</f>
        <v>16055.015000000001</v>
      </c>
      <c r="I5" s="35">
        <f>+MCHBG!E5</f>
        <v>15910</v>
      </c>
      <c r="J5" s="35">
        <f>+'Title IV-E'!B5</f>
        <v>30025</v>
      </c>
      <c r="K5" s="35">
        <f>+'CW - State and Local Share'!D5</f>
        <v>105103</v>
      </c>
      <c r="L5" s="35">
        <f>+'Child Care &amp; Dev Fd'!G5</f>
        <v>29369</v>
      </c>
      <c r="M5" s="35">
        <f>+'Title IV-B'!D5</f>
        <v>909</v>
      </c>
      <c r="N5" s="35">
        <f>+'Title IV-D'!E5</f>
        <v>47365</v>
      </c>
      <c r="O5" s="64">
        <f>+'Title XX'!B5</f>
        <v>25657</v>
      </c>
      <c r="P5" s="35">
        <f>+TANF!E5</f>
        <v>71923</v>
      </c>
      <c r="Q5" s="35">
        <f>+Nutrition!M5</f>
        <v>170916.84742000001</v>
      </c>
      <c r="R5" s="35">
        <f>+'Juvenile Justice'!H5</f>
        <v>34961.273999999998</v>
      </c>
      <c r="S5" s="35">
        <f>+'Tax Credits'!M5</f>
        <v>237064</v>
      </c>
      <c r="T5" s="35">
        <f t="shared" si="0"/>
        <v>3818999.1939698006</v>
      </c>
    </row>
    <row r="6" spans="1:20" x14ac:dyDescent="0.2">
      <c r="A6" s="41" t="s">
        <v>111</v>
      </c>
      <c r="B6" s="35">
        <f>+'K-12 Educ'!G6</f>
        <v>8765823.0329999998</v>
      </c>
      <c r="C6" s="35">
        <f>+PreSchool!B6</f>
        <v>9224</v>
      </c>
      <c r="D6" s="35">
        <f>+'Early Intervention'!B6+('Head Start'!B6*0.001)</f>
        <v>121746.967</v>
      </c>
      <c r="E6" s="35">
        <f>+Medicaid!J6</f>
        <v>1856849.12</v>
      </c>
      <c r="F6" s="35">
        <f>+CHIP!E6</f>
        <v>31600</v>
      </c>
      <c r="G6" s="35">
        <f>+'Mental Health'!H6</f>
        <v>432200</v>
      </c>
      <c r="H6" s="35">
        <f>+Immunizations!E6</f>
        <v>93044.366999999998</v>
      </c>
      <c r="I6" s="35">
        <f>+MCHBG!E6</f>
        <v>13939</v>
      </c>
      <c r="J6" s="35">
        <f>+'Title IV-E'!B6</f>
        <v>176174</v>
      </c>
      <c r="K6" s="35">
        <f>+'CW - State and Local Share'!D6</f>
        <v>175745</v>
      </c>
      <c r="L6" s="35">
        <f>+'Child Care &amp; Dev Fd'!G6</f>
        <v>141735</v>
      </c>
      <c r="M6" s="35">
        <f>+'Title IV-B'!D6</f>
        <v>14315</v>
      </c>
      <c r="N6" s="35">
        <f>+'Title IV-D'!E6</f>
        <v>106410</v>
      </c>
      <c r="O6" s="64">
        <f>+'Title XX'!B6</f>
        <v>43956</v>
      </c>
      <c r="P6" s="35">
        <f>+TANF!E6</f>
        <v>325894</v>
      </c>
      <c r="Q6" s="35">
        <f>+Nutrition!M6</f>
        <v>1422514.7093400001</v>
      </c>
      <c r="R6" s="35">
        <f>+'Juvenile Justice'!H6</f>
        <v>101658.728</v>
      </c>
      <c r="S6" s="35">
        <f>+'Tax Credits'!M6</f>
        <v>2752835</v>
      </c>
      <c r="T6" s="35">
        <f t="shared" si="0"/>
        <v>16585663.924340002</v>
      </c>
    </row>
    <row r="7" spans="1:20" x14ac:dyDescent="0.2">
      <c r="A7" s="41" t="s">
        <v>112</v>
      </c>
      <c r="B7" s="35">
        <f>+'K-12 Educ'!G7</f>
        <v>5045896.5580000002</v>
      </c>
      <c r="C7" s="35">
        <f>+PreSchool!B7</f>
        <v>111000</v>
      </c>
      <c r="D7" s="35">
        <f>+'Early Intervention'!B7+('Head Start'!B7*0.001)</f>
        <v>79146.441999999995</v>
      </c>
      <c r="E7" s="35">
        <f>+Medicaid!J7</f>
        <v>1215427.68</v>
      </c>
      <c r="F7" s="35">
        <f>+CHIP!E7</f>
        <v>124800</v>
      </c>
      <c r="G7" s="35">
        <f>+'Mental Health'!H7</f>
        <v>16376.876456876456</v>
      </c>
      <c r="H7" s="35">
        <f>+Immunizations!E7</f>
        <v>44799.862000000001</v>
      </c>
      <c r="I7" s="35">
        <f>+MCHBG!E7</f>
        <v>13477</v>
      </c>
      <c r="J7" s="35">
        <f>+'Title IV-E'!B7</f>
        <v>55002</v>
      </c>
      <c r="K7" s="35">
        <f>+'CW - State and Local Share'!D7</f>
        <v>61661</v>
      </c>
      <c r="L7" s="35">
        <f>+'Child Care &amp; Dev Fd'!G7</f>
        <v>58653</v>
      </c>
      <c r="M7" s="35">
        <f>+'Title IV-B'!D7</f>
        <v>7374</v>
      </c>
      <c r="N7" s="35">
        <f>+'Title IV-D'!E7</f>
        <v>83846</v>
      </c>
      <c r="O7" s="64">
        <f>+'Title XX'!B7</f>
        <v>6551</v>
      </c>
      <c r="P7" s="35">
        <f>+TANF!E7</f>
        <v>174595</v>
      </c>
      <c r="Q7" s="35">
        <f>+Nutrition!M7</f>
        <v>666900.03500000003</v>
      </c>
      <c r="R7" s="35">
        <f>+'Juvenile Justice'!H7</f>
        <v>83251.873999999996</v>
      </c>
      <c r="S7" s="35">
        <f>+'Tax Credits'!M7</f>
        <v>1340215.6000000001</v>
      </c>
      <c r="T7" s="35">
        <f t="shared" si="0"/>
        <v>9188973.9274568763</v>
      </c>
    </row>
    <row r="8" spans="1:20" x14ac:dyDescent="0.2">
      <c r="A8" s="41" t="s">
        <v>113</v>
      </c>
      <c r="B8" s="35">
        <f>+'K-12 Educ'!G8</f>
        <v>62982280.414999999</v>
      </c>
      <c r="C8" s="35">
        <f>+PreSchool!B8</f>
        <v>728223</v>
      </c>
      <c r="D8" s="35">
        <f>+'Early Intervention'!B8+('Head Start'!B8*0.001)</f>
        <v>1887971.585</v>
      </c>
      <c r="E8" s="35">
        <f>+Medicaid!J8</f>
        <v>12803152.140000001</v>
      </c>
      <c r="F8" s="35">
        <f>+CHIP!E8</f>
        <v>1918300</v>
      </c>
      <c r="G8" s="35">
        <f>+'Mental Health'!H8</f>
        <v>2237787.2842985177</v>
      </c>
      <c r="H8" s="35">
        <f>+Immunizations!E8</f>
        <v>577008.90599999996</v>
      </c>
      <c r="I8" s="35">
        <f>+MCHBG!E8</f>
        <v>1253656</v>
      </c>
      <c r="J8" s="35">
        <f>+'Title IV-E'!B8</f>
        <v>1436201</v>
      </c>
      <c r="K8" s="35">
        <f>+'CW - State and Local Share'!D8</f>
        <v>1796721</v>
      </c>
      <c r="L8" s="35">
        <f>+'Child Care &amp; Dev Fd'!G8</f>
        <v>854787</v>
      </c>
      <c r="M8" s="35">
        <f>+'Title IV-B'!D8</f>
        <v>66275</v>
      </c>
      <c r="N8" s="35">
        <f>+'Title IV-D'!E8</f>
        <v>1561631</v>
      </c>
      <c r="O8" s="64">
        <f>+'Title XX'!B8</f>
        <v>332169</v>
      </c>
      <c r="P8" s="35">
        <f>+TANF!E8</f>
        <v>6115367</v>
      </c>
      <c r="Q8" s="35">
        <f>+Nutrition!M8</f>
        <v>6753773.5798499994</v>
      </c>
      <c r="R8" s="35">
        <f>+'Juvenile Justice'!H8</f>
        <v>2058245.78</v>
      </c>
      <c r="S8" s="35">
        <f>+'Tax Credits'!M8</f>
        <v>14613937</v>
      </c>
      <c r="T8" s="35">
        <f t="shared" si="0"/>
        <v>119977486.69014853</v>
      </c>
    </row>
    <row r="9" spans="1:20" x14ac:dyDescent="0.2">
      <c r="A9" s="41" t="s">
        <v>115</v>
      </c>
      <c r="B9" s="35">
        <f>+'K-12 Educ'!G9</f>
        <v>7929767.2829999998</v>
      </c>
      <c r="C9" s="35">
        <f>+PreSchool!B9</f>
        <v>37255</v>
      </c>
      <c r="D9" s="35">
        <f>+'Early Intervention'!B9+('Head Start'!B9*0.001)</f>
        <v>109028.717</v>
      </c>
      <c r="E9" s="35">
        <f>+Medicaid!J9</f>
        <v>1306132.0399999998</v>
      </c>
      <c r="F9" s="35">
        <f>+CHIP!E9</f>
        <v>194200</v>
      </c>
      <c r="G9" s="35">
        <f>+'Mental Health'!H9</f>
        <v>142930</v>
      </c>
      <c r="H9" s="35">
        <f>+Immunizations!E9</f>
        <v>52092.147000000004</v>
      </c>
      <c r="I9" s="35">
        <f>+MCHBG!E9</f>
        <v>12453</v>
      </c>
      <c r="J9" s="35">
        <f>+'Title IV-E'!B9</f>
        <v>78228</v>
      </c>
      <c r="K9" s="35">
        <f>+'CW - State and Local Share'!D9</f>
        <v>271918</v>
      </c>
      <c r="L9" s="35">
        <f>+'Child Care &amp; Dev Fd'!G9</f>
        <v>106078</v>
      </c>
      <c r="M9" s="35">
        <f>+'Title IV-B'!D9</f>
        <v>7528</v>
      </c>
      <c r="N9" s="35">
        <f>+'Title IV-D'!E9</f>
        <v>130916</v>
      </c>
      <c r="O9" s="64">
        <f>+'Title XX'!B9</f>
        <v>23690</v>
      </c>
      <c r="P9" s="35">
        <f>+TANF!E9</f>
        <v>303129</v>
      </c>
      <c r="Q9" s="35">
        <f>+Nutrition!M9</f>
        <v>701792.32550000004</v>
      </c>
      <c r="R9" s="35">
        <f>+'Juvenile Justice'!H9</f>
        <v>135376.19</v>
      </c>
      <c r="S9" s="35">
        <f>+'Tax Credits'!M9</f>
        <v>1766556</v>
      </c>
      <c r="T9" s="35">
        <f t="shared" si="0"/>
        <v>13309069.702499999</v>
      </c>
    </row>
    <row r="10" spans="1:20" x14ac:dyDescent="0.2">
      <c r="A10" s="41" t="s">
        <v>114</v>
      </c>
      <c r="B10" s="35">
        <f>+'K-12 Educ'!G10</f>
        <v>9891157.3509999998</v>
      </c>
      <c r="C10" s="35">
        <f>+PreSchool!B10</f>
        <v>75432</v>
      </c>
      <c r="D10" s="35">
        <f>+'Early Intervention'!B10+('Head Start'!B10*0.001)</f>
        <v>101747.649</v>
      </c>
      <c r="E10" s="35">
        <f>+Medicaid!J10</f>
        <v>1327281.1200000001</v>
      </c>
      <c r="F10" s="35">
        <f>+CHIP!E10</f>
        <v>25400</v>
      </c>
      <c r="G10" s="35">
        <f>+'Mental Health'!H10</f>
        <v>0</v>
      </c>
      <c r="H10" s="35">
        <f>+Immunizations!E10</f>
        <v>39511.914000000004</v>
      </c>
      <c r="I10" s="35">
        <f>+MCHBG!E10</f>
        <v>11355</v>
      </c>
      <c r="J10" s="35">
        <f>+'Title IV-E'!B10</f>
        <v>84956</v>
      </c>
      <c r="K10" s="35">
        <f>+'CW - State and Local Share'!D10</f>
        <v>337016</v>
      </c>
      <c r="L10" s="35">
        <f>+'Child Care &amp; Dev Fd'!G10</f>
        <v>118055</v>
      </c>
      <c r="M10" s="35">
        <f>+'Title IV-B'!D10</f>
        <v>4323</v>
      </c>
      <c r="N10" s="35">
        <f>+'Title IV-D'!E10</f>
        <v>117731</v>
      </c>
      <c r="O10" s="64">
        <f>+'Title XX'!B10</f>
        <v>25888</v>
      </c>
      <c r="P10" s="35">
        <f>+TANF!E10</f>
        <v>466988</v>
      </c>
      <c r="Q10" s="35">
        <f>+Nutrition!M10</f>
        <v>584897.83178000001</v>
      </c>
      <c r="R10" s="35">
        <f>+'Juvenile Justice'!H10</f>
        <v>56935.66</v>
      </c>
      <c r="S10" s="35">
        <f>+'Tax Credits'!M10</f>
        <v>1077430</v>
      </c>
      <c r="T10" s="35">
        <f t="shared" si="0"/>
        <v>14346105.525780002</v>
      </c>
    </row>
    <row r="11" spans="1:20" x14ac:dyDescent="0.2">
      <c r="A11" s="41" t="s">
        <v>42</v>
      </c>
      <c r="B11" s="35">
        <f>+'K-12 Educ'!G11</f>
        <v>1890937.129</v>
      </c>
      <c r="C11" s="35">
        <f>+PreSchool!B11</f>
        <v>5728</v>
      </c>
      <c r="D11" s="35">
        <f>+'Early Intervention'!B11+('Head Start'!B11*0.001)</f>
        <v>20871.870999999999</v>
      </c>
      <c r="E11" s="35">
        <f>+Medicaid!J11</f>
        <v>350841.92000000004</v>
      </c>
      <c r="F11" s="35">
        <f>+CHIP!E11</f>
        <v>22300</v>
      </c>
      <c r="G11" s="35">
        <f>+'Mental Health'!H11</f>
        <v>0</v>
      </c>
      <c r="H11" s="35">
        <f>+Immunizations!E11</f>
        <v>12013.666000000001</v>
      </c>
      <c r="I11" s="35">
        <f>+MCHBG!E11</f>
        <v>10992</v>
      </c>
      <c r="J11" s="35">
        <f>+'Title IV-E'!B11</f>
        <v>5722</v>
      </c>
      <c r="K11" s="35">
        <f>+'CW - State and Local Share'!D11</f>
        <v>48234</v>
      </c>
      <c r="L11" s="35">
        <f>+'Child Care &amp; Dev Fd'!G11</f>
        <v>24173</v>
      </c>
      <c r="M11" s="35">
        <f>+'Title IV-B'!D11</f>
        <v>1732</v>
      </c>
      <c r="N11" s="35">
        <f>+'Title IV-D'!E11</f>
        <v>79055</v>
      </c>
      <c r="O11" s="64">
        <f>+'Title XX'!B11</f>
        <v>3875</v>
      </c>
      <c r="P11" s="35">
        <f>+TANF!E11</f>
        <v>88067</v>
      </c>
      <c r="Q11" s="35">
        <f>+Nutrition!M11</f>
        <v>198833.96544</v>
      </c>
      <c r="R11" s="35">
        <f>+'Juvenile Justice'!H11</f>
        <v>28068.06</v>
      </c>
      <c r="S11" s="35">
        <f>+'Tax Credits'!M11</f>
        <v>341808</v>
      </c>
      <c r="T11" s="35">
        <f t="shared" si="0"/>
        <v>3133252.6114400001</v>
      </c>
    </row>
    <row r="12" spans="1:20" x14ac:dyDescent="0.2">
      <c r="A12" s="41" t="s">
        <v>116</v>
      </c>
      <c r="B12" s="35">
        <f>+'K-12 Educ'!G12</f>
        <v>23857239.149999999</v>
      </c>
      <c r="C12" s="35">
        <f>+PreSchool!B12</f>
        <v>399464</v>
      </c>
      <c r="D12" s="35">
        <f>+'Early Intervention'!B12+('Head Start'!B12*0.001)</f>
        <v>353197.85000000003</v>
      </c>
      <c r="E12" s="35">
        <f>+Medicaid!J12</f>
        <v>4238463.0999999996</v>
      </c>
      <c r="F12" s="35">
        <f>+CHIP!E12</f>
        <v>499100</v>
      </c>
      <c r="G12" s="35">
        <f>+'Mental Health'!H12</f>
        <v>91135.570469798666</v>
      </c>
      <c r="H12" s="35">
        <f>+Immunizations!E12</f>
        <v>219994.24900000001</v>
      </c>
      <c r="I12" s="35">
        <f>+MCHBG!E12</f>
        <v>187888</v>
      </c>
      <c r="J12" s="35">
        <f>+'Title IV-E'!B12</f>
        <v>253876</v>
      </c>
      <c r="K12" s="35">
        <f>+'CW - State and Local Share'!D12</f>
        <v>507083</v>
      </c>
      <c r="L12" s="35">
        <f>+'Child Care &amp; Dev Fd'!G12</f>
        <v>465255</v>
      </c>
      <c r="M12" s="35">
        <f>+'Title IV-B'!D12</f>
        <v>31248</v>
      </c>
      <c r="N12" s="35">
        <f>+'Title IV-D'!E12</f>
        <v>458248</v>
      </c>
      <c r="O12" s="64">
        <f>+'Title XX'!B12</f>
        <v>138001</v>
      </c>
      <c r="P12" s="35">
        <f>+TANF!E12</f>
        <v>813783</v>
      </c>
      <c r="Q12" s="35">
        <f>+Nutrition!M12</f>
        <v>4724524.49584</v>
      </c>
      <c r="R12" s="35">
        <f>+'Juvenile Justice'!H12</f>
        <v>218257.80799999999</v>
      </c>
      <c r="S12" s="35">
        <f>+'Tax Credits'!M12</f>
        <v>8386098</v>
      </c>
      <c r="T12" s="35">
        <f t="shared" si="0"/>
        <v>45842856.2233098</v>
      </c>
    </row>
    <row r="13" spans="1:20" x14ac:dyDescent="0.2">
      <c r="A13" s="41" t="s">
        <v>117</v>
      </c>
      <c r="B13" s="35">
        <f>+'K-12 Educ'!G13</f>
        <v>16701998.548</v>
      </c>
      <c r="C13" s="35">
        <f>+PreSchool!B13</f>
        <v>289223</v>
      </c>
      <c r="D13" s="35">
        <f>+'Early Intervention'!B13+('Head Start'!B13*0.001)</f>
        <v>222348.45199999999</v>
      </c>
      <c r="E13" s="35">
        <f>+Medicaid!J13</f>
        <v>2904460.8</v>
      </c>
      <c r="F13" s="35">
        <f>+CHIP!E13</f>
        <v>355800</v>
      </c>
      <c r="G13" s="35">
        <f>+'Mental Health'!H13</f>
        <v>105270</v>
      </c>
      <c r="H13" s="35">
        <f>+Immunizations!E13</f>
        <v>150907.459</v>
      </c>
      <c r="I13" s="35">
        <f>+MCHBG!E13</f>
        <v>142252</v>
      </c>
      <c r="J13" s="35">
        <f>+'Title IV-E'!B13</f>
        <v>111589</v>
      </c>
      <c r="K13" s="35">
        <f>+'CW - State and Local Share'!D13</f>
        <v>202444</v>
      </c>
      <c r="L13" s="35">
        <f>+'Child Care &amp; Dev Fd'!G13</f>
        <v>178491</v>
      </c>
      <c r="M13" s="35">
        <f>+'Title IV-B'!D13</f>
        <v>22041</v>
      </c>
      <c r="N13" s="35">
        <f>+'Title IV-D'!E13</f>
        <v>174957</v>
      </c>
      <c r="O13" s="64">
        <f>+'Title XX'!B13</f>
        <v>10479</v>
      </c>
      <c r="P13" s="35">
        <f>+TANF!E13</f>
        <v>522680</v>
      </c>
      <c r="Q13" s="35">
        <f>+Nutrition!M13</f>
        <v>2710524.5396999996</v>
      </c>
      <c r="R13" s="35">
        <f>+'Juvenile Justice'!H13</f>
        <v>188211.288</v>
      </c>
      <c r="S13" s="35">
        <f>+'Tax Credits'!M13</f>
        <v>5054177</v>
      </c>
      <c r="T13" s="35">
        <f t="shared" si="0"/>
        <v>30047854.086699996</v>
      </c>
    </row>
    <row r="14" spans="1:20" x14ac:dyDescent="0.2">
      <c r="A14" s="41" t="s">
        <v>118</v>
      </c>
      <c r="B14" s="35">
        <f>+'K-12 Educ'!G14</f>
        <v>2285981.716</v>
      </c>
      <c r="C14" s="35">
        <f>+PreSchool!B14</f>
        <v>0</v>
      </c>
      <c r="D14" s="35">
        <f>+'Early Intervention'!B14+('Head Start'!B14*0.001)</f>
        <v>42726.284</v>
      </c>
      <c r="E14" s="35">
        <f>+Medicaid!J14</f>
        <v>268682.40000000002</v>
      </c>
      <c r="F14" s="35">
        <f>+CHIP!E14</f>
        <v>38500</v>
      </c>
      <c r="G14" s="35">
        <f>+'Mental Health'!H14</f>
        <v>32991.771720613287</v>
      </c>
      <c r="H14" s="35">
        <f>+Immunizations!E14</f>
        <v>17643.236000000001</v>
      </c>
      <c r="I14" s="35">
        <f>+MCHBG!E14</f>
        <v>25722</v>
      </c>
      <c r="J14" s="36">
        <f>+'Title IV-E'!B14</f>
        <v>0</v>
      </c>
      <c r="K14" s="35">
        <f>+'CW - State and Local Share'!D14</f>
        <v>0</v>
      </c>
      <c r="L14" s="35">
        <f>+'Child Care &amp; Dev Fd'!G14</f>
        <v>46574</v>
      </c>
      <c r="M14" s="35">
        <f>+'Title IV-B'!D14</f>
        <v>2116</v>
      </c>
      <c r="N14" s="35">
        <f>+'Title IV-D'!E14</f>
        <v>32696</v>
      </c>
      <c r="O14" s="64">
        <f>+'Title XX'!B14</f>
        <v>13994</v>
      </c>
      <c r="P14" s="35">
        <f>+TANF!E14</f>
        <v>242120</v>
      </c>
      <c r="Q14" s="35">
        <f>+Nutrition!M14</f>
        <v>380725.29814999999</v>
      </c>
      <c r="R14" s="35">
        <f>+'Juvenile Justice'!H14</f>
        <v>20792.581000000002</v>
      </c>
      <c r="S14" s="35">
        <f>+'Tax Credits'!M14</f>
        <v>495221</v>
      </c>
      <c r="T14" s="35">
        <f t="shared" si="0"/>
        <v>3946486.2868706132</v>
      </c>
    </row>
    <row r="15" spans="1:20" x14ac:dyDescent="0.2">
      <c r="A15" s="41" t="s">
        <v>119</v>
      </c>
      <c r="B15" s="35">
        <f>+'K-12 Educ'!G15</f>
        <v>1962646.415</v>
      </c>
      <c r="C15" s="35">
        <f>+PreSchool!B15</f>
        <v>0</v>
      </c>
      <c r="D15" s="35">
        <f>+'Early Intervention'!B15+('Head Start'!B15*0.001)</f>
        <v>29647.584999999999</v>
      </c>
      <c r="E15" s="35">
        <f>+Medicaid!J15</f>
        <v>411563.68</v>
      </c>
      <c r="F15" s="35">
        <f>+CHIP!E15</f>
        <v>43700</v>
      </c>
      <c r="G15" s="35">
        <f>+'Mental Health'!H15</f>
        <v>11265.447154471543</v>
      </c>
      <c r="H15" s="35">
        <f>+Immunizations!E15</f>
        <v>23896.852999999999</v>
      </c>
      <c r="I15" s="35">
        <f>+MCHBG!E15</f>
        <v>4875</v>
      </c>
      <c r="J15" s="35">
        <f>+'Title IV-E'!B15</f>
        <v>15817</v>
      </c>
      <c r="K15" s="35">
        <f>+'CW - State and Local Share'!D15</f>
        <v>18190</v>
      </c>
      <c r="L15" s="35">
        <f>+'Child Care &amp; Dev Fd'!G15</f>
        <v>22336</v>
      </c>
      <c r="M15" s="35">
        <f>+'Title IV-B'!D15</f>
        <v>3071</v>
      </c>
      <c r="N15" s="35">
        <f>+'Title IV-D'!E15</f>
        <v>38945</v>
      </c>
      <c r="O15" s="64">
        <f>+'Title XX'!B15</f>
        <v>9769</v>
      </c>
      <c r="P15" s="35">
        <f>+TANF!E15</f>
        <v>33893</v>
      </c>
      <c r="Q15" s="35">
        <f>+Nutrition!M15</f>
        <v>305129.00364000001</v>
      </c>
      <c r="R15" s="35">
        <f>+'Juvenile Justice'!H15</f>
        <v>32219.246999999999</v>
      </c>
      <c r="S15" s="35">
        <f>+'Tax Credits'!M15</f>
        <v>654144</v>
      </c>
      <c r="T15" s="35">
        <f t="shared" si="0"/>
        <v>3621108.2307944722</v>
      </c>
    </row>
    <row r="16" spans="1:20" x14ac:dyDescent="0.2">
      <c r="A16" s="41" t="s">
        <v>120</v>
      </c>
      <c r="B16" s="35">
        <f>+'K-12 Educ'!G16</f>
        <v>26608525.508000001</v>
      </c>
      <c r="C16" s="35">
        <f>+PreSchool!B16</f>
        <v>259771</v>
      </c>
      <c r="D16" s="35">
        <f>+'Early Intervention'!B16+('Head Start'!B16*0.001)</f>
        <v>406625.49200000003</v>
      </c>
      <c r="E16" s="35">
        <f>+Medicaid!J16</f>
        <v>3952188</v>
      </c>
      <c r="F16" s="35">
        <f>+CHIP!E16</f>
        <v>407600</v>
      </c>
      <c r="G16" s="35">
        <f>+'Mental Health'!H16</f>
        <v>239348.8931460196</v>
      </c>
      <c r="H16" s="35">
        <f>+Immunizations!E16</f>
        <v>158998.603</v>
      </c>
      <c r="I16" s="35">
        <f>+MCHBG!E16</f>
        <v>48962</v>
      </c>
      <c r="J16" s="35">
        <f>+'Title IV-E'!B16</f>
        <v>302122</v>
      </c>
      <c r="K16" s="35">
        <f>+'CW - State and Local Share'!D16</f>
        <v>523517</v>
      </c>
      <c r="L16" s="35">
        <f>+'Child Care &amp; Dev Fd'!G16</f>
        <v>336342</v>
      </c>
      <c r="M16" s="35">
        <f>+'Title IV-B'!D16</f>
        <v>25869</v>
      </c>
      <c r="N16" s="35">
        <f>+'Title IV-D'!E16</f>
        <v>336262</v>
      </c>
      <c r="O16" s="64">
        <f>+'Title XX'!B16</f>
        <v>13686</v>
      </c>
      <c r="P16" s="35">
        <f>+TANF!E16</f>
        <v>1184512</v>
      </c>
      <c r="Q16" s="35">
        <f>+Nutrition!M16</f>
        <v>2684924.5664499998</v>
      </c>
      <c r="R16" s="35">
        <f>+'Juvenile Justice'!H16</f>
        <v>243357</v>
      </c>
      <c r="S16" s="35">
        <f>+'Tax Credits'!M16</f>
        <v>4984011</v>
      </c>
      <c r="T16" s="35">
        <f t="shared" si="0"/>
        <v>42716622.062596023</v>
      </c>
    </row>
    <row r="17" spans="1:20" x14ac:dyDescent="0.2">
      <c r="A17" s="41" t="s">
        <v>121</v>
      </c>
      <c r="B17" s="35">
        <f>+'K-12 Educ'!G17</f>
        <v>10806905.289000001</v>
      </c>
      <c r="C17" s="35">
        <f>+PreSchool!B17</f>
        <v>0</v>
      </c>
      <c r="D17" s="35">
        <f>+'Early Intervention'!B17+('Head Start'!B17*0.001)</f>
        <v>129922.711</v>
      </c>
      <c r="E17" s="35">
        <f>+Medicaid!J17</f>
        <v>1897627.6800000002</v>
      </c>
      <c r="F17" s="35">
        <f>+CHIP!E17</f>
        <v>181300</v>
      </c>
      <c r="G17" s="35">
        <f>+'Mental Health'!H17</f>
        <v>108334.00584602536</v>
      </c>
      <c r="H17" s="35">
        <f>+Immunizations!E17</f>
        <v>75231.884999999995</v>
      </c>
      <c r="I17" s="35">
        <f>+MCHBG!E17</f>
        <v>25259</v>
      </c>
      <c r="J17" s="35">
        <f>+'Title IV-E'!B17</f>
        <v>146420</v>
      </c>
      <c r="K17" s="35">
        <f>+'CW - State and Local Share'!D17</f>
        <v>414278</v>
      </c>
      <c r="L17" s="35">
        <f>+'Child Care &amp; Dev Fd'!G17</f>
        <v>173082</v>
      </c>
      <c r="M17" s="35">
        <f>+'Title IV-B'!D17</f>
        <v>13417</v>
      </c>
      <c r="N17" s="35">
        <f>+'Title IV-D'!E17</f>
        <v>170641</v>
      </c>
      <c r="O17" s="64">
        <f>+'Title XX'!B17</f>
        <v>14441</v>
      </c>
      <c r="P17" s="35">
        <f>+TANF!E17</f>
        <v>222319</v>
      </c>
      <c r="Q17" s="35">
        <f>+Nutrition!M17</f>
        <v>1234803.8070999999</v>
      </c>
      <c r="R17" s="35">
        <f>+'Juvenile Justice'!H17</f>
        <v>147155.90600000002</v>
      </c>
      <c r="S17" s="35">
        <f>+'Tax Credits'!M17</f>
        <v>2672058</v>
      </c>
      <c r="T17" s="35">
        <f t="shared" si="0"/>
        <v>18433196.283946022</v>
      </c>
    </row>
    <row r="18" spans="1:20" x14ac:dyDescent="0.2">
      <c r="A18" s="41" t="s">
        <v>122</v>
      </c>
      <c r="B18" s="35">
        <f>+'K-12 Educ'!G18</f>
        <v>5740166.0360000003</v>
      </c>
      <c r="C18" s="35">
        <f>+PreSchool!B18</f>
        <v>78490</v>
      </c>
      <c r="D18" s="35">
        <f>+'Early Intervention'!B18+('Head Start'!B18*0.001)</f>
        <v>64992.964</v>
      </c>
      <c r="E18" s="35">
        <f>+Medicaid!J18</f>
        <v>788674.58000000007</v>
      </c>
      <c r="F18" s="35">
        <f>+CHIP!E18</f>
        <v>122700</v>
      </c>
      <c r="G18" s="35">
        <f>+'Mental Health'!H18</f>
        <v>157041.35011441648</v>
      </c>
      <c r="H18" s="35">
        <f>+Immunizations!E18</f>
        <v>30580.543000000001</v>
      </c>
      <c r="I18" s="35">
        <f>+MCHBG!E18</f>
        <v>10265</v>
      </c>
      <c r="J18" s="35">
        <f>+'Title IV-E'!B18</f>
        <v>59415</v>
      </c>
      <c r="K18" s="35">
        <f>+'CW - State and Local Share'!D18</f>
        <v>138981</v>
      </c>
      <c r="L18" s="35">
        <f>+'Child Care &amp; Dev Fd'!G18</f>
        <v>83597</v>
      </c>
      <c r="M18" s="35">
        <f>+'Title IV-B'!D18</f>
        <v>5671</v>
      </c>
      <c r="N18" s="35">
        <f>+'Title IV-D'!E18</f>
        <v>94145</v>
      </c>
      <c r="O18" s="64">
        <f>+'Title XX'!B18</f>
        <v>27863</v>
      </c>
      <c r="P18" s="35">
        <f>+TANF!E18</f>
        <v>190825</v>
      </c>
      <c r="Q18" s="35">
        <f>+Nutrition!M18</f>
        <v>515607.02</v>
      </c>
      <c r="R18" s="35">
        <f>+'Juvenile Justice'!H18</f>
        <v>110273.143</v>
      </c>
      <c r="S18" s="35">
        <f>+'Tax Credits'!M18</f>
        <v>1068227</v>
      </c>
      <c r="T18" s="35">
        <f t="shared" si="0"/>
        <v>9287514.6361144148</v>
      </c>
    </row>
    <row r="19" spans="1:20" x14ac:dyDescent="0.2">
      <c r="A19" s="41" t="s">
        <v>123</v>
      </c>
      <c r="B19" s="35">
        <f>+'K-12 Educ'!G19</f>
        <v>5475883.2300000004</v>
      </c>
      <c r="C19" s="35">
        <f>+PreSchool!B19</f>
        <v>18243</v>
      </c>
      <c r="D19" s="35">
        <f>+'Early Intervention'!B19+('Head Start'!B19*0.001)</f>
        <v>80886.77</v>
      </c>
      <c r="E19" s="35">
        <f>+Medicaid!J19</f>
        <v>708046.56</v>
      </c>
      <c r="F19" s="35">
        <f>+CHIP!E19</f>
        <v>76300</v>
      </c>
      <c r="G19" s="35">
        <f>+'Mental Health'!H19</f>
        <v>154588.28522920207</v>
      </c>
      <c r="H19" s="35">
        <f>+Immunizations!E19</f>
        <v>29564.89</v>
      </c>
      <c r="I19" s="35">
        <f>+MCHBG!E19</f>
        <v>8190</v>
      </c>
      <c r="J19" s="35">
        <f>+'Title IV-E'!B19</f>
        <v>38355</v>
      </c>
      <c r="K19" s="35">
        <f>+'CW - State and Local Share'!D19</f>
        <v>151218</v>
      </c>
      <c r="L19" s="35">
        <f>+'Child Care &amp; Dev Fd'!G19</f>
        <v>86144</v>
      </c>
      <c r="M19" s="35">
        <f>+'Title IV-B'!D19</f>
        <v>4891</v>
      </c>
      <c r="N19" s="35">
        <f>+'Title IV-D'!E19</f>
        <v>93846</v>
      </c>
      <c r="O19" s="64">
        <f>+'Title XX'!B19</f>
        <v>20674</v>
      </c>
      <c r="P19" s="35">
        <f>+TANF!E19</f>
        <v>159102</v>
      </c>
      <c r="Q19" s="35">
        <f>+Nutrition!M19</f>
        <v>422909.81773000001</v>
      </c>
      <c r="R19" s="35">
        <f>+'Juvenile Justice'!H19</f>
        <v>75272.028999999995</v>
      </c>
      <c r="S19" s="35">
        <f>+'Tax Credits'!M19</f>
        <v>1160722</v>
      </c>
      <c r="T19" s="35">
        <f t="shared" si="0"/>
        <v>8764836.5819592029</v>
      </c>
    </row>
    <row r="20" spans="1:20" x14ac:dyDescent="0.2">
      <c r="A20" s="41" t="s">
        <v>124</v>
      </c>
      <c r="B20" s="35">
        <f>+'K-12 Educ'!G20</f>
        <v>6931810.0279999999</v>
      </c>
      <c r="C20" s="35">
        <f>+PreSchool!B20</f>
        <v>74765</v>
      </c>
      <c r="D20" s="35">
        <f>+'Early Intervention'!B20+('Head Start'!B20*0.001)</f>
        <v>145450.97200000001</v>
      </c>
      <c r="E20" s="35">
        <f>+Medicaid!J20</f>
        <v>1602038.6199999999</v>
      </c>
      <c r="F20" s="35">
        <f>+CHIP!E20</f>
        <v>178200</v>
      </c>
      <c r="G20" s="35">
        <f>+'Mental Health'!H20</f>
        <v>56816.724738675955</v>
      </c>
      <c r="H20" s="35">
        <f>+Immunizations!E20</f>
        <v>50519.256000000001</v>
      </c>
      <c r="I20" s="35">
        <f>+MCHBG!E20</f>
        <v>44252</v>
      </c>
      <c r="J20" s="35">
        <f>+'Title IV-E'!B20</f>
        <v>83791</v>
      </c>
      <c r="K20" s="35">
        <f>+'CW - State and Local Share'!D20</f>
        <v>315824</v>
      </c>
      <c r="L20" s="35">
        <f>+'Child Care &amp; Dev Fd'!G20</f>
        <v>144574</v>
      </c>
      <c r="M20" s="35">
        <f>+'Title IV-B'!D20</f>
        <v>10607</v>
      </c>
      <c r="N20" s="35">
        <f>+'Title IV-D'!E20</f>
        <v>114850</v>
      </c>
      <c r="O20" s="64">
        <f>+'Title XX'!B20</f>
        <v>25432</v>
      </c>
      <c r="P20" s="35">
        <f>+TANF!E20</f>
        <v>259632</v>
      </c>
      <c r="Q20" s="35">
        <f>+Nutrition!M20</f>
        <v>1097485.98208</v>
      </c>
      <c r="R20" s="35">
        <f>+'Juvenile Justice'!H20</f>
        <v>76773.78</v>
      </c>
      <c r="S20" s="35">
        <f>+'Tax Credits'!M20</f>
        <v>1754700</v>
      </c>
      <c r="T20" s="35">
        <f t="shared" si="0"/>
        <v>12967522.362818673</v>
      </c>
    </row>
    <row r="21" spans="1:20" x14ac:dyDescent="0.2">
      <c r="A21" s="41" t="s">
        <v>125</v>
      </c>
      <c r="B21" s="35">
        <f>+'K-12 Educ'!G21</f>
        <v>8030345.165</v>
      </c>
      <c r="C21" s="35">
        <f>+PreSchool!B21</f>
        <v>91066</v>
      </c>
      <c r="D21" s="35">
        <f>+'Early Intervention'!B21+('Head Start'!B21*0.001)</f>
        <v>182002.83499999999</v>
      </c>
      <c r="E21" s="35">
        <f>+Medicaid!J21</f>
        <v>2030145.2400000002</v>
      </c>
      <c r="F21" s="35">
        <f>+CHIP!E21</f>
        <v>226900</v>
      </c>
      <c r="G21" s="35">
        <f>+'Mental Health'!H21</f>
        <v>45706.902668057832</v>
      </c>
      <c r="H21" s="35">
        <f>+Immunizations!E21</f>
        <v>74408.934000000008</v>
      </c>
      <c r="I21" s="35">
        <f>+MCHBG!E21</f>
        <v>24972</v>
      </c>
      <c r="J21" s="35">
        <f>+'Title IV-E'!B21</f>
        <v>63240</v>
      </c>
      <c r="K21" s="35">
        <f>+'CW - State and Local Share'!D21</f>
        <v>37833</v>
      </c>
      <c r="L21" s="35">
        <f>+'Child Care &amp; Dev Fd'!G21</f>
        <v>103950</v>
      </c>
      <c r="M21" s="35">
        <f>+'Title IV-B'!D21</f>
        <v>12677</v>
      </c>
      <c r="N21" s="35">
        <f>+'Title IV-D'!E21</f>
        <v>133426</v>
      </c>
      <c r="O21" s="64">
        <f>+'Title XX'!B21</f>
        <v>53595</v>
      </c>
      <c r="P21" s="35">
        <f>+TANF!E21</f>
        <v>244652</v>
      </c>
      <c r="Q21" s="35">
        <f>+Nutrition!M21</f>
        <v>1345086.1085999999</v>
      </c>
      <c r="R21" s="35">
        <f>+'Juvenile Justice'!H21</f>
        <v>49212.534</v>
      </c>
      <c r="S21" s="35">
        <f>+'Tax Credits'!M21</f>
        <v>2397831</v>
      </c>
      <c r="T21" s="35">
        <f t="shared" si="0"/>
        <v>15147049.719268057</v>
      </c>
    </row>
    <row r="22" spans="1:20" x14ac:dyDescent="0.2">
      <c r="A22" s="41" t="s">
        <v>0</v>
      </c>
      <c r="B22" s="35">
        <f>+'K-12 Educ'!G22</f>
        <v>2410141.611</v>
      </c>
      <c r="C22" s="35">
        <f>+PreSchool!B22</f>
        <v>10587</v>
      </c>
      <c r="D22" s="35">
        <f>+'Early Intervention'!B22+('Head Start'!B22*0.001)</f>
        <v>31534.388999999999</v>
      </c>
      <c r="E22" s="35">
        <f>+Medicaid!J22</f>
        <v>497866.5</v>
      </c>
      <c r="F22" s="35">
        <f>+CHIP!E22</f>
        <v>40700</v>
      </c>
      <c r="G22" s="35">
        <f>+'Mental Health'!H22</f>
        <v>197449.30743243243</v>
      </c>
      <c r="H22" s="35">
        <f>+Immunizations!E22</f>
        <v>14416.800999999999</v>
      </c>
      <c r="I22" s="35">
        <f>+MCHBG!E22</f>
        <v>11384</v>
      </c>
      <c r="J22" s="35">
        <f>+'Title IV-E'!B22</f>
        <v>31672</v>
      </c>
      <c r="K22" s="35">
        <f>+'CW - State and Local Share'!D22</f>
        <v>77181</v>
      </c>
      <c r="L22" s="35">
        <f>+'Child Care &amp; Dev Fd'!G22</f>
        <v>20639</v>
      </c>
      <c r="M22" s="35">
        <f>+'Title IV-B'!D22</f>
        <v>2705</v>
      </c>
      <c r="N22" s="35">
        <f>+'Title IV-D'!E22</f>
        <v>46316</v>
      </c>
      <c r="O22" s="64">
        <f>+'Title XX'!B22</f>
        <v>1355</v>
      </c>
      <c r="P22" s="35">
        <f>+TANF!E22</f>
        <v>110388</v>
      </c>
      <c r="Q22" s="35">
        <f>+Nutrition!M22</f>
        <v>310134.7072</v>
      </c>
      <c r="R22" s="35">
        <f>+'Juvenile Justice'!H22</f>
        <v>38913.4</v>
      </c>
      <c r="S22" s="35">
        <f>+'Tax Credits'!M22</f>
        <v>408686</v>
      </c>
      <c r="T22" s="35">
        <f t="shared" si="0"/>
        <v>4262069.7156324331</v>
      </c>
    </row>
    <row r="23" spans="1:20" x14ac:dyDescent="0.2">
      <c r="A23" s="41" t="s">
        <v>1</v>
      </c>
      <c r="B23" s="35">
        <f>+'K-12 Educ'!G23</f>
        <v>12823880.982999999</v>
      </c>
      <c r="C23" s="35">
        <f>+PreSchool!B23</f>
        <v>103262</v>
      </c>
      <c r="D23" s="35">
        <f>+'Early Intervention'!B23+('Head Start'!B23*0.001)</f>
        <v>153396.01699999999</v>
      </c>
      <c r="E23" s="35">
        <f>+Medicaid!J23</f>
        <v>1872457.6</v>
      </c>
      <c r="F23" s="35">
        <f>+CHIP!E23</f>
        <v>237500</v>
      </c>
      <c r="G23" s="35">
        <f>+'Mental Health'!H23</f>
        <v>340474.72415202286</v>
      </c>
      <c r="H23" s="35">
        <f>+Immunizations!E23</f>
        <v>69500.172000000006</v>
      </c>
      <c r="I23" s="35">
        <f>+MCHBG!E23</f>
        <v>20568</v>
      </c>
      <c r="J23" s="35">
        <f>+'Title IV-E'!B23</f>
        <v>92162</v>
      </c>
      <c r="K23" s="35">
        <f>+'CW - State and Local Share'!D23</f>
        <v>344468</v>
      </c>
      <c r="L23" s="35">
        <f>+'Child Care &amp; Dev Fd'!G23</f>
        <v>131471</v>
      </c>
      <c r="M23" s="35">
        <f>+'Title IV-B'!D23</f>
        <v>8396</v>
      </c>
      <c r="N23" s="35">
        <f>+'Title IV-D'!E23</f>
        <v>219746</v>
      </c>
      <c r="O23" s="64">
        <f>+'Title XX'!B23</f>
        <v>29137</v>
      </c>
      <c r="P23" s="35">
        <f>+TANF!E23</f>
        <v>546728</v>
      </c>
      <c r="Q23" s="35">
        <f>+Nutrition!M23</f>
        <v>980664.86098</v>
      </c>
      <c r="R23" s="35">
        <f>+'Juvenile Justice'!H23</f>
        <v>289424.61499999999</v>
      </c>
      <c r="S23" s="35">
        <f>+'Tax Credits'!M23</f>
        <v>2049869</v>
      </c>
      <c r="T23" s="35">
        <f t="shared" si="0"/>
        <v>20313105.97213202</v>
      </c>
    </row>
    <row r="24" spans="1:20" x14ac:dyDescent="0.2">
      <c r="A24" s="41" t="s">
        <v>2</v>
      </c>
      <c r="B24" s="35">
        <f>+'K-12 Educ'!G24</f>
        <v>15092816.325999999</v>
      </c>
      <c r="C24" s="35">
        <f>+PreSchool!B24</f>
        <v>53840</v>
      </c>
      <c r="D24" s="35">
        <f>+'Early Intervention'!B24+('Head Start'!B24*0.001)</f>
        <v>161224.674</v>
      </c>
      <c r="E24" s="35">
        <f>+Medicaid!J24</f>
        <v>2103375.84</v>
      </c>
      <c r="F24" s="35">
        <f>+CHIP!E24</f>
        <v>489700</v>
      </c>
      <c r="G24" s="35">
        <f>+'Mental Health'!H24</f>
        <v>91678.483898546605</v>
      </c>
      <c r="H24" s="35">
        <f>+Immunizations!E24</f>
        <v>74159.116999999998</v>
      </c>
      <c r="I24" s="35">
        <f>+MCHBG!E24</f>
        <v>55392</v>
      </c>
      <c r="J24" s="35">
        <f>+'Title IV-E'!B24</f>
        <v>90532</v>
      </c>
      <c r="K24" s="35">
        <f>+'CW - State and Local Share'!D24</f>
        <v>530274</v>
      </c>
      <c r="L24" s="35">
        <f>+'Child Care &amp; Dev Fd'!G24</f>
        <v>272668</v>
      </c>
      <c r="M24" s="35">
        <f>+'Title IV-B'!D24</f>
        <v>9495</v>
      </c>
      <c r="N24" s="35">
        <f>+'Title IV-D'!E24</f>
        <v>177643</v>
      </c>
      <c r="O24" s="64">
        <f>+'Title XX'!B24</f>
        <v>62964</v>
      </c>
      <c r="P24" s="35">
        <f>+TANF!E24</f>
        <v>1029478</v>
      </c>
      <c r="Q24" s="35">
        <f>+Nutrition!M24</f>
        <v>1164976.8729600001</v>
      </c>
      <c r="R24" s="35">
        <f>+'Juvenile Justice'!H24</f>
        <v>96812.432000000001</v>
      </c>
      <c r="S24" s="35">
        <f>+'Tax Credits'!M24</f>
        <v>1833818</v>
      </c>
      <c r="T24" s="35">
        <f t="shared" si="0"/>
        <v>23390847.745858546</v>
      </c>
    </row>
    <row r="25" spans="1:20" x14ac:dyDescent="0.2">
      <c r="A25" s="41" t="s">
        <v>3</v>
      </c>
      <c r="B25" s="35">
        <f>+'K-12 Educ'!G25</f>
        <v>17489850.008000001</v>
      </c>
      <c r="C25" s="35">
        <f>+PreSchool!B25</f>
        <v>104275</v>
      </c>
      <c r="D25" s="35">
        <f>+'Early Intervention'!B25+('Head Start'!B25*0.001)</f>
        <v>318644.99200000003</v>
      </c>
      <c r="E25" s="35">
        <f>+Medicaid!J25</f>
        <v>2953783.25</v>
      </c>
      <c r="F25" s="35">
        <f>+CHIP!E25</f>
        <v>66200</v>
      </c>
      <c r="G25" s="35">
        <f>+'Mental Health'!H25</f>
        <v>202374.55516014236</v>
      </c>
      <c r="H25" s="35">
        <f>+Immunizations!E25</f>
        <v>108706.454</v>
      </c>
      <c r="I25" s="35">
        <f>+MCHBG!E25</f>
        <v>53452</v>
      </c>
      <c r="J25" s="35">
        <f>+'Title IV-E'!B25</f>
        <v>240564</v>
      </c>
      <c r="K25" s="35">
        <f>+'CW - State and Local Share'!D25</f>
        <v>373244</v>
      </c>
      <c r="L25" s="35">
        <f>+'Child Care &amp; Dev Fd'!G25</f>
        <v>205912</v>
      </c>
      <c r="M25" s="35">
        <f>+'Title IV-B'!D25</f>
        <v>21594</v>
      </c>
      <c r="N25" s="35">
        <f>+'Title IV-D'!E25</f>
        <v>386792</v>
      </c>
      <c r="O25" s="64">
        <f>+'Title XX'!B25</f>
        <v>112767</v>
      </c>
      <c r="P25" s="35">
        <f>+TANF!E25</f>
        <v>1506418</v>
      </c>
      <c r="Q25" s="35">
        <f>+Nutrition!M25</f>
        <v>2482611.9523200002</v>
      </c>
      <c r="R25" s="35">
        <f>+'Juvenile Justice'!H25</f>
        <v>366539.67499999999</v>
      </c>
      <c r="S25" s="35">
        <f>+'Tax Credits'!M25</f>
        <v>3962260</v>
      </c>
      <c r="T25" s="35">
        <f t="shared" si="0"/>
        <v>30955988.886480141</v>
      </c>
    </row>
    <row r="26" spans="1:20" x14ac:dyDescent="0.2">
      <c r="A26" s="41" t="s">
        <v>4</v>
      </c>
      <c r="B26" s="35">
        <f>+'K-12 Educ'!G26</f>
        <v>10024513.684</v>
      </c>
      <c r="C26" s="35">
        <f>+PreSchool!B26</f>
        <v>13764</v>
      </c>
      <c r="D26" s="35">
        <f>+'Early Intervention'!B26+('Head Start'!B26*0.001)</f>
        <v>83787.316000000006</v>
      </c>
      <c r="E26" s="35">
        <f>+Medicaid!J26</f>
        <v>2055343.08</v>
      </c>
      <c r="F26" s="35">
        <f>+CHIP!E26</f>
        <v>19600</v>
      </c>
      <c r="G26" s="35">
        <f>+'Mental Health'!H26</f>
        <v>273138.57639120851</v>
      </c>
      <c r="H26" s="35">
        <f>+Immunizations!E26</f>
        <v>46867.862000000001</v>
      </c>
      <c r="I26" s="35">
        <f>+MCHBG!E26</f>
        <v>15645</v>
      </c>
      <c r="J26" s="35">
        <f>+'Title IV-E'!B26</f>
        <v>66491</v>
      </c>
      <c r="K26" s="35">
        <f>+'CW - State and Local Share'!D26</f>
        <v>374491</v>
      </c>
      <c r="L26" s="35">
        <f>+'Child Care &amp; Dev Fd'!G26</f>
        <v>195002</v>
      </c>
      <c r="M26" s="35">
        <f>+'Title IV-B'!D26</f>
        <v>7766</v>
      </c>
      <c r="N26" s="35">
        <f>+'Title IV-D'!E26</f>
        <v>289926</v>
      </c>
      <c r="O26" s="64">
        <f>+'Title XX'!B26</f>
        <v>16791</v>
      </c>
      <c r="P26" s="35">
        <f>+TANF!E26</f>
        <v>425963</v>
      </c>
      <c r="Q26" s="35">
        <f>+Nutrition!M26</f>
        <v>715438.08262999996</v>
      </c>
      <c r="R26" s="35">
        <f>+'Juvenile Justice'!H26</f>
        <v>89784.691999999995</v>
      </c>
      <c r="S26" s="35">
        <f>+'Tax Credits'!M26</f>
        <v>1912868</v>
      </c>
      <c r="T26" s="35">
        <f t="shared" si="0"/>
        <v>16627180.293021208</v>
      </c>
    </row>
    <row r="27" spans="1:20" x14ac:dyDescent="0.2">
      <c r="A27" s="41" t="s">
        <v>5</v>
      </c>
      <c r="B27" s="35">
        <f>+'K-12 Educ'!G27</f>
        <v>4062911.0559999999</v>
      </c>
      <c r="C27" s="35">
        <f>+PreSchool!B27</f>
        <v>0</v>
      </c>
      <c r="D27" s="35">
        <f>+'Early Intervention'!B27+('Head Start'!B27*0.001)</f>
        <v>184704.94400000002</v>
      </c>
      <c r="E27" s="35">
        <f>+Medicaid!J27</f>
        <v>1265193.46</v>
      </c>
      <c r="F27" s="35">
        <f>+CHIP!E27</f>
        <v>207600</v>
      </c>
      <c r="G27" s="35">
        <f>+'Mental Health'!H27</f>
        <v>99572.108743570905</v>
      </c>
      <c r="H27" s="35">
        <f>+Immunizations!E27</f>
        <v>49343.662000000004</v>
      </c>
      <c r="I27" s="35">
        <f>+MCHBG!E27</f>
        <v>18883</v>
      </c>
      <c r="J27" s="35">
        <f>+'Title IV-E'!B27</f>
        <v>23479</v>
      </c>
      <c r="K27" s="35">
        <f>+'CW - State and Local Share'!D27</f>
        <v>53338</v>
      </c>
      <c r="L27" s="35">
        <f>+'Child Care &amp; Dev Fd'!G27</f>
        <v>80753</v>
      </c>
      <c r="M27" s="35">
        <f>+'Title IV-B'!D27</f>
        <v>8614</v>
      </c>
      <c r="N27" s="35">
        <f>+'Title IV-D'!E27</f>
        <v>53942</v>
      </c>
      <c r="O27" s="64">
        <f>+'Title XX'!B27</f>
        <v>17071</v>
      </c>
      <c r="P27" s="35">
        <f>+TANF!E27</f>
        <v>80534</v>
      </c>
      <c r="Q27" s="35">
        <f>+Nutrition!M27</f>
        <v>852741.72383999999</v>
      </c>
      <c r="R27" s="35">
        <f>+'Juvenile Justice'!H27</f>
        <v>40599.4</v>
      </c>
      <c r="S27" s="35">
        <f>+'Tax Credits'!M27</f>
        <v>1735824</v>
      </c>
      <c r="T27" s="35">
        <f t="shared" si="0"/>
        <v>8835104.3545835707</v>
      </c>
    </row>
    <row r="28" spans="1:20" x14ac:dyDescent="0.2">
      <c r="A28" s="41" t="s">
        <v>6</v>
      </c>
      <c r="B28" s="35">
        <f>+'K-12 Educ'!G28</f>
        <v>9464413.8259999994</v>
      </c>
      <c r="C28" s="35">
        <f>+PreSchool!B28</f>
        <v>11005</v>
      </c>
      <c r="D28" s="35">
        <f>+'Early Intervention'!B28+('Head Start'!B28*0.001)</f>
        <v>166565.174</v>
      </c>
      <c r="E28" s="35">
        <f>+Medicaid!J28</f>
        <v>2507974.16</v>
      </c>
      <c r="F28" s="35">
        <f>+CHIP!E28</f>
        <v>158900</v>
      </c>
      <c r="G28" s="35">
        <f>+'Mental Health'!H28</f>
        <v>80898.782883001288</v>
      </c>
      <c r="H28" s="35">
        <f>+Immunizations!E28</f>
        <v>66939.854000000007</v>
      </c>
      <c r="I28" s="35">
        <f>+MCHBG!E28</f>
        <v>22950</v>
      </c>
      <c r="J28" s="35">
        <f>+'Title IV-E'!B28</f>
        <v>99541</v>
      </c>
      <c r="K28" s="35">
        <f>+'CW - State and Local Share'!D28</f>
        <v>242557</v>
      </c>
      <c r="L28" s="35">
        <f>+'Child Care &amp; Dev Fd'!G28</f>
        <v>160073</v>
      </c>
      <c r="M28" s="35">
        <f>+'Title IV-B'!D28</f>
        <v>15425</v>
      </c>
      <c r="N28" s="35">
        <f>+'Title IV-D'!E28</f>
        <v>140143</v>
      </c>
      <c r="O28" s="64">
        <f>+'Title XX'!B28</f>
        <v>40720</v>
      </c>
      <c r="P28" s="35">
        <f>+TANF!E28</f>
        <v>368340</v>
      </c>
      <c r="Q28" s="35">
        <f>+Nutrition!M28</f>
        <v>1241280.04382</v>
      </c>
      <c r="R28" s="35">
        <f>+'Juvenile Justice'!H28</f>
        <v>101318.74</v>
      </c>
      <c r="S28" s="35">
        <f>+'Tax Credits'!M28</f>
        <v>2301182</v>
      </c>
      <c r="T28" s="35">
        <f t="shared" si="0"/>
        <v>17190226.580703001</v>
      </c>
    </row>
    <row r="29" spans="1:20" x14ac:dyDescent="0.2">
      <c r="A29" s="41" t="s">
        <v>7</v>
      </c>
      <c r="B29" s="35">
        <f>+'K-12 Educ'!G29</f>
        <v>1601316.459</v>
      </c>
      <c r="C29" s="35">
        <f>+PreSchool!B29</f>
        <v>0</v>
      </c>
      <c r="D29" s="35">
        <f>+'Early Intervention'!B29+('Head Start'!B29*0.001)</f>
        <v>23985.541000000001</v>
      </c>
      <c r="E29" s="35">
        <f>+Medicaid!J29</f>
        <v>273297.48</v>
      </c>
      <c r="F29" s="35">
        <f>+CHIP!E29</f>
        <v>74900</v>
      </c>
      <c r="G29" s="35">
        <f>+'Mental Health'!H29</f>
        <v>97344.900324524802</v>
      </c>
      <c r="H29" s="35">
        <f>+Immunizations!E29</f>
        <v>9608.2780000000002</v>
      </c>
      <c r="I29" s="35">
        <f>+MCHBG!E29</f>
        <v>4248</v>
      </c>
      <c r="J29" s="35">
        <f>+'Title IV-E'!B29</f>
        <v>19564</v>
      </c>
      <c r="K29" s="35">
        <f>+'CW - State and Local Share'!D29</f>
        <v>36059</v>
      </c>
      <c r="L29" s="35">
        <f>+'Child Care &amp; Dev Fd'!G29</f>
        <v>28062</v>
      </c>
      <c r="M29" s="35">
        <f>+'Title IV-B'!D29</f>
        <v>1559</v>
      </c>
      <c r="N29" s="35">
        <f>+'Title IV-D'!E29</f>
        <v>25928</v>
      </c>
      <c r="O29" s="64">
        <f>+'Title XX'!B29</f>
        <v>4469</v>
      </c>
      <c r="P29" s="35">
        <f>+TANF!E29</f>
        <v>45128</v>
      </c>
      <c r="Q29" s="35">
        <f>+Nutrition!M29</f>
        <v>169918.46084000001</v>
      </c>
      <c r="R29" s="35">
        <f>+'Juvenile Justice'!H29</f>
        <v>30848.080000000002</v>
      </c>
      <c r="S29" s="35">
        <f>+'Tax Credits'!M29</f>
        <v>337828</v>
      </c>
      <c r="T29" s="35">
        <f t="shared" si="0"/>
        <v>2784064.1991645247</v>
      </c>
    </row>
    <row r="30" spans="1:20" x14ac:dyDescent="0.2">
      <c r="A30" s="41" t="s">
        <v>8</v>
      </c>
      <c r="B30" s="35">
        <f>+'K-12 Educ'!G30</f>
        <v>3623260.1639999999</v>
      </c>
      <c r="C30" s="35">
        <f>+PreSchool!B30</f>
        <v>9629</v>
      </c>
      <c r="D30" s="35">
        <f>+'Early Intervention'!B30+('Head Start'!B30*0.001)</f>
        <v>72187.835999999996</v>
      </c>
      <c r="E30" s="35">
        <f>+Medicaid!J30</f>
        <v>443340.79999999999</v>
      </c>
      <c r="F30" s="35">
        <f>+CHIP!E30</f>
        <v>58500</v>
      </c>
      <c r="G30" s="35">
        <f>+'Mental Health'!H30</f>
        <v>11894.153108186945</v>
      </c>
      <c r="H30" s="35">
        <f>+Immunizations!E30</f>
        <v>24956.321</v>
      </c>
      <c r="I30" s="35">
        <f>+MCHBG!E30</f>
        <v>6489</v>
      </c>
      <c r="J30" s="35">
        <f>+'Title IV-E'!B30</f>
        <v>29953</v>
      </c>
      <c r="K30" s="35">
        <f>+'CW - State and Local Share'!D30</f>
        <v>168654</v>
      </c>
      <c r="L30" s="35">
        <f>+'Child Care &amp; Dev Fd'!G30</f>
        <v>104635</v>
      </c>
      <c r="M30" s="35">
        <f>+'Title IV-B'!D30</f>
        <v>3199</v>
      </c>
      <c r="N30" s="35">
        <f>+'Title IV-D'!E30</f>
        <v>57562</v>
      </c>
      <c r="O30" s="64">
        <f>+'Title XX'!B30</f>
        <v>2867</v>
      </c>
      <c r="P30" s="35">
        <f>+TANF!E30</f>
        <v>86454</v>
      </c>
      <c r="Q30" s="35">
        <f>+Nutrition!M30</f>
        <v>256191.14783</v>
      </c>
      <c r="R30" s="35">
        <f>+'Juvenile Justice'!H30</f>
        <v>86820.664000000004</v>
      </c>
      <c r="S30" s="35">
        <f>+'Tax Credits'!M30</f>
        <v>719058</v>
      </c>
      <c r="T30" s="35">
        <f t="shared" si="0"/>
        <v>5765651.0859381873</v>
      </c>
    </row>
    <row r="31" spans="1:20" x14ac:dyDescent="0.2">
      <c r="A31" s="41" t="s">
        <v>92</v>
      </c>
      <c r="B31" s="35">
        <f>+'K-12 Educ'!G31</f>
        <v>3868106.7769999998</v>
      </c>
      <c r="C31" s="35">
        <f>+PreSchool!B31</f>
        <v>3339</v>
      </c>
      <c r="D31" s="35">
        <f>+'Early Intervention'!B31+('Head Start'!B31*0.001)</f>
        <v>74822.222999999998</v>
      </c>
      <c r="E31" s="35">
        <f>+Medicaid!J31</f>
        <v>628009.6</v>
      </c>
      <c r="F31" s="35">
        <f>+CHIP!E31</f>
        <v>43900</v>
      </c>
      <c r="G31" s="35">
        <f>+'Mental Health'!H31</f>
        <v>30642.559109874823</v>
      </c>
      <c r="H31" s="35">
        <f>+Immunizations!E31</f>
        <v>37818.493999999999</v>
      </c>
      <c r="I31" s="35">
        <f>+MCHBG!E31</f>
        <v>3003</v>
      </c>
      <c r="J31" s="35">
        <f>+'Title IV-E'!B31</f>
        <v>51492</v>
      </c>
      <c r="K31" s="35">
        <f>+'CW - State and Local Share'!D31</f>
        <v>60953</v>
      </c>
      <c r="L31" s="35">
        <f>+'Child Care &amp; Dev Fd'!G31</f>
        <v>49987</v>
      </c>
      <c r="M31" s="35">
        <f>+'Title IV-B'!D31</f>
        <v>7241</v>
      </c>
      <c r="N31" s="35">
        <f>+'Title IV-D'!E31</f>
        <v>84394</v>
      </c>
      <c r="O31" s="64">
        <f>+'Title XX'!B31</f>
        <v>9218</v>
      </c>
      <c r="P31" s="35">
        <f>+TANF!E31</f>
        <v>98196</v>
      </c>
      <c r="Q31" s="35">
        <f>+Nutrition!M31</f>
        <v>449616.255</v>
      </c>
      <c r="R31" s="35">
        <f>+'Juvenile Justice'!H31</f>
        <v>145949.32</v>
      </c>
      <c r="S31" s="35">
        <f>+'Tax Credits'!M31</f>
        <v>1153551</v>
      </c>
      <c r="T31" s="35">
        <f t="shared" si="0"/>
        <v>6800239.2281098748</v>
      </c>
    </row>
    <row r="32" spans="1:20" x14ac:dyDescent="0.2">
      <c r="A32" s="41" t="s">
        <v>9</v>
      </c>
      <c r="B32" s="35">
        <f>+'K-12 Educ'!G32</f>
        <v>2787713.0809999998</v>
      </c>
      <c r="C32" s="35">
        <f>+PreSchool!B32</f>
        <v>0</v>
      </c>
      <c r="D32" s="35">
        <f>+'Early Intervention'!B32+('Head Start'!B32*0.001)</f>
        <v>17693.919000000002</v>
      </c>
      <c r="E32" s="35">
        <f>+Medicaid!J32</f>
        <v>376901.27999999997</v>
      </c>
      <c r="F32" s="35">
        <f>+CHIP!E32</f>
        <v>20100</v>
      </c>
      <c r="G32" s="35">
        <f>+'Mental Health'!H32</f>
        <v>44141.154669370284</v>
      </c>
      <c r="H32" s="35">
        <f>+Immunizations!E32</f>
        <v>11073.286</v>
      </c>
      <c r="I32" s="35">
        <f>+MCHBG!E32</f>
        <v>6219</v>
      </c>
      <c r="J32" s="35">
        <f>+'Title IV-E'!B32</f>
        <v>14730</v>
      </c>
      <c r="K32" s="35">
        <f>+'CW - State and Local Share'!D32</f>
        <v>35784</v>
      </c>
      <c r="L32" s="35">
        <f>+'Child Care &amp; Dev Fd'!G32</f>
        <v>27821</v>
      </c>
      <c r="M32" s="35">
        <f>+'Title IV-B'!D32</f>
        <v>1733</v>
      </c>
      <c r="N32" s="35">
        <f>+'Title IV-D'!E32</f>
        <v>32976</v>
      </c>
      <c r="O32" s="64">
        <f>+'Title XX'!B32</f>
        <v>2526</v>
      </c>
      <c r="P32" s="35">
        <f>+TANF!E32</f>
        <v>73935</v>
      </c>
      <c r="Q32" s="35">
        <f>+Nutrition!M32</f>
        <v>139645.70420000001</v>
      </c>
      <c r="R32" s="35">
        <f>+'Juvenile Justice'!H32</f>
        <v>21417.8</v>
      </c>
      <c r="S32" s="35">
        <f>+'Tax Credits'!M32</f>
        <v>349972</v>
      </c>
      <c r="T32" s="35">
        <f t="shared" si="0"/>
        <v>3964382.22486937</v>
      </c>
    </row>
    <row r="33" spans="1:20" x14ac:dyDescent="0.2">
      <c r="A33" s="41" t="s">
        <v>10</v>
      </c>
      <c r="B33" s="35">
        <f>+'K-12 Educ'!G33</f>
        <v>24552825.868999999</v>
      </c>
      <c r="C33" s="35">
        <f>+PreSchool!B33</f>
        <v>600894</v>
      </c>
      <c r="D33" s="35">
        <f>+'Early Intervention'!B33+('Head Start'!B33*0.001)</f>
        <v>248571.13099999999</v>
      </c>
      <c r="E33" s="35">
        <f>+Medicaid!J33</f>
        <v>2375440.92</v>
      </c>
      <c r="F33" s="35">
        <f>+CHIP!E33</f>
        <v>947200</v>
      </c>
      <c r="G33" s="35">
        <f>+'Mental Health'!H33</f>
        <v>326272.70652696112</v>
      </c>
      <c r="H33" s="35">
        <f>+Immunizations!E33</f>
        <v>81347.823000000004</v>
      </c>
      <c r="I33" s="35">
        <f>+MCHBG!E33</f>
        <v>116436</v>
      </c>
      <c r="J33" s="35">
        <f>+'Title IV-E'!B33</f>
        <v>145328</v>
      </c>
      <c r="K33" s="35">
        <f>+'CW - State and Local Share'!D33</f>
        <v>653185</v>
      </c>
      <c r="L33" s="35">
        <f>+'Child Care &amp; Dev Fd'!G33</f>
        <v>251734</v>
      </c>
      <c r="M33" s="35">
        <f>+'Title IV-B'!D33</f>
        <v>10916</v>
      </c>
      <c r="N33" s="35">
        <f>+'Title IV-D'!E33</f>
        <v>470136</v>
      </c>
      <c r="O33" s="64">
        <f>+'Title XX'!B33</f>
        <v>35151</v>
      </c>
      <c r="P33" s="35">
        <f>+TANF!E33</f>
        <v>1036995</v>
      </c>
      <c r="Q33" s="35">
        <f>+Nutrition!M33</f>
        <v>1191875.1494800001</v>
      </c>
      <c r="R33" s="35">
        <f>+'Juvenile Justice'!H33</f>
        <v>198891.66500000001</v>
      </c>
      <c r="S33" s="35">
        <f>+'Tax Credits'!M33</f>
        <v>2917187</v>
      </c>
      <c r="T33" s="35">
        <f t="shared" si="0"/>
        <v>36160387.264006957</v>
      </c>
    </row>
    <row r="34" spans="1:20" x14ac:dyDescent="0.2">
      <c r="A34" s="41" t="s">
        <v>11</v>
      </c>
      <c r="B34" s="35">
        <f>+'K-12 Educ'!G34</f>
        <v>3478388.344</v>
      </c>
      <c r="C34" s="35">
        <f>+PreSchool!B34</f>
        <v>14514</v>
      </c>
      <c r="D34" s="35">
        <f>+'Early Intervention'!B34+('Head Start'!B34*0.001)</f>
        <v>81760.656000000003</v>
      </c>
      <c r="E34" s="35">
        <f>+Medicaid!J34</f>
        <v>1777672.9999999998</v>
      </c>
      <c r="F34" s="35">
        <f>+CHIP!E34</f>
        <v>151600</v>
      </c>
      <c r="G34" s="35">
        <f>+'Mental Health'!H34</f>
        <v>143400</v>
      </c>
      <c r="H34" s="35">
        <f>+Immunizations!E34</f>
        <v>39562.156999999999</v>
      </c>
      <c r="I34" s="35">
        <f>+MCHBG!E34</f>
        <v>7665</v>
      </c>
      <c r="J34" s="35">
        <f>+'Title IV-E'!B34</f>
        <v>46615</v>
      </c>
      <c r="K34" s="35">
        <f>+'CW - State and Local Share'!D34</f>
        <v>36255</v>
      </c>
      <c r="L34" s="35">
        <f>+'Child Care &amp; Dev Fd'!G34</f>
        <v>72365</v>
      </c>
      <c r="M34" s="35">
        <f>+'Title IV-B'!D34</f>
        <v>4712</v>
      </c>
      <c r="N34" s="35">
        <f>+'Title IV-D'!E34</f>
        <v>69936</v>
      </c>
      <c r="O34" s="64">
        <f>+'Title XX'!B34</f>
        <v>7365</v>
      </c>
      <c r="P34" s="35">
        <f>+TANF!E34</f>
        <v>182230</v>
      </c>
      <c r="Q34" s="35">
        <f>+Nutrition!M34</f>
        <v>578503.72347999993</v>
      </c>
      <c r="R34" s="35">
        <f>+'Juvenile Justice'!H34</f>
        <v>93846.106</v>
      </c>
      <c r="S34" s="35">
        <f>+'Tax Credits'!M34</f>
        <v>961877</v>
      </c>
      <c r="T34" s="35">
        <f t="shared" si="0"/>
        <v>7748267.9864799995</v>
      </c>
    </row>
    <row r="35" spans="1:20" s="23" customFormat="1" x14ac:dyDescent="0.2">
      <c r="A35" s="42" t="s">
        <v>12</v>
      </c>
      <c r="B35" s="37">
        <f>+'K-12 Educ'!G35</f>
        <v>53683753.973999999</v>
      </c>
      <c r="C35" s="37">
        <f>+PreSchool!B35</f>
        <v>380170</v>
      </c>
      <c r="D35" s="37">
        <f>+'Early Intervention'!B35+('Head Start'!B35*0.001)</f>
        <v>917984.02600000007</v>
      </c>
      <c r="E35" s="37">
        <f>+Medicaid!J35</f>
        <v>7487679.919999999</v>
      </c>
      <c r="F35" s="37">
        <f>+CHIP!E35</f>
        <v>858000</v>
      </c>
      <c r="G35" s="37">
        <f>+'Mental Health'!H35</f>
        <v>747022.55087170063</v>
      </c>
      <c r="H35" s="37">
        <f>+Immunizations!E35</f>
        <v>256119.87400000001</v>
      </c>
      <c r="I35" s="37">
        <f>+MCHBG!E35</f>
        <v>193604</v>
      </c>
      <c r="J35" s="37">
        <f>+'Title IV-E'!B35</f>
        <v>548756</v>
      </c>
      <c r="K35" s="37">
        <f>+'CW - State and Local Share'!D35</f>
        <v>1732958</v>
      </c>
      <c r="L35" s="37">
        <f>+'Child Care &amp; Dev Fd'!G35</f>
        <v>853068</v>
      </c>
      <c r="M35" s="37">
        <f>+'Title IV-B'!D35</f>
        <v>33373</v>
      </c>
      <c r="N35" s="37">
        <f>+'Title IV-D'!E35</f>
        <v>630837</v>
      </c>
      <c r="O35" s="65">
        <f>+'Title XX'!B35</f>
        <v>176111</v>
      </c>
      <c r="P35" s="37">
        <f>+TANF!E35</f>
        <v>4348256</v>
      </c>
      <c r="Q35" s="37">
        <f>+Nutrition!M35</f>
        <v>4735641.4191500004</v>
      </c>
      <c r="R35" s="37">
        <f>+'Juvenile Justice'!H35</f>
        <v>761172.15700000001</v>
      </c>
      <c r="S35" s="37">
        <f>+'Tax Credits'!M35</f>
        <v>9053198</v>
      </c>
      <c r="T35" s="37">
        <f t="shared" si="0"/>
        <v>87397704.9210217</v>
      </c>
    </row>
    <row r="36" spans="1:20" x14ac:dyDescent="0.2">
      <c r="A36" s="41" t="s">
        <v>13</v>
      </c>
      <c r="B36" s="35">
        <f>+'K-12 Educ'!G36</f>
        <v>12687087.851</v>
      </c>
      <c r="C36" s="35">
        <f>+PreSchool!B36</f>
        <v>128147</v>
      </c>
      <c r="D36" s="35">
        <f>+'Early Intervention'!B36+('Head Start'!B36*0.001)</f>
        <v>220326.149</v>
      </c>
      <c r="E36" s="35">
        <f>+Medicaid!J36</f>
        <v>3553776.0000000005</v>
      </c>
      <c r="F36" s="35">
        <f>+CHIP!E36</f>
        <v>385700</v>
      </c>
      <c r="G36" s="35">
        <f>+'Mental Health'!H36</f>
        <v>664933.84380382334</v>
      </c>
      <c r="H36" s="35">
        <f>+Immunizations!E36</f>
        <v>111672.049</v>
      </c>
      <c r="I36" s="35">
        <f>+MCHBG!E36</f>
        <v>51767</v>
      </c>
      <c r="J36" s="35">
        <f>+'Title IV-E'!B36</f>
        <v>124081</v>
      </c>
      <c r="K36" s="35">
        <f>+'CW - State and Local Share'!D36</f>
        <v>229330</v>
      </c>
      <c r="L36" s="35">
        <f>+'Child Care &amp; Dev Fd'!G36</f>
        <v>341985</v>
      </c>
      <c r="M36" s="35">
        <f>+'Title IV-B'!D36</f>
        <v>20333</v>
      </c>
      <c r="N36" s="35">
        <f>+'Title IV-D'!E36</f>
        <v>253668</v>
      </c>
      <c r="O36" s="64">
        <f>+'Title XX'!B36</f>
        <v>23318</v>
      </c>
      <c r="P36" s="35">
        <f>+TANF!E36</f>
        <v>530537</v>
      </c>
      <c r="Q36" s="35">
        <f>+Nutrition!M36</f>
        <v>2106078.4233200001</v>
      </c>
      <c r="R36" s="35">
        <f>+'Juvenile Justice'!H36</f>
        <v>94211.25</v>
      </c>
      <c r="S36" s="35">
        <f>+'Tax Credits'!M36</f>
        <v>4291963</v>
      </c>
      <c r="T36" s="35">
        <f t="shared" ref="T36:T53" si="1">SUM(B36:S36)</f>
        <v>25818914.566123821</v>
      </c>
    </row>
    <row r="37" spans="1:20" x14ac:dyDescent="0.2">
      <c r="A37" s="41" t="s">
        <v>14</v>
      </c>
      <c r="B37" s="35">
        <f>+'K-12 Educ'!G37</f>
        <v>1238088.2109999999</v>
      </c>
      <c r="C37" s="35">
        <f>+PreSchool!B37</f>
        <v>0</v>
      </c>
      <c r="D37" s="35">
        <f>+'Early Intervention'!B37+('Head Start'!B37*0.001)</f>
        <v>41259.789000000004</v>
      </c>
      <c r="E37" s="35">
        <f>+Medicaid!J37</f>
        <v>150815.32</v>
      </c>
      <c r="F37" s="35">
        <f>+CHIP!E37</f>
        <v>24000</v>
      </c>
      <c r="G37" s="35">
        <f>+'Mental Health'!H37</f>
        <v>3520.0353178607465</v>
      </c>
      <c r="H37" s="35">
        <f>+Immunizations!E37</f>
        <v>8142.8879999999999</v>
      </c>
      <c r="I37" s="35">
        <f>+MCHBG!E37</f>
        <v>3152</v>
      </c>
      <c r="J37" s="35">
        <f>+'Title IV-E'!B37</f>
        <v>16128</v>
      </c>
      <c r="K37" s="35">
        <f>+'CW - State and Local Share'!D37</f>
        <v>25204</v>
      </c>
      <c r="L37" s="35">
        <f>+'Child Care &amp; Dev Fd'!G37</f>
        <v>11104</v>
      </c>
      <c r="M37" s="35">
        <f>+'Title IV-B'!D37</f>
        <v>1031</v>
      </c>
      <c r="N37" s="35">
        <f>+'Title IV-D'!E37</f>
        <v>26117</v>
      </c>
      <c r="O37" s="64">
        <f>+'Title XX'!B37</f>
        <v>847</v>
      </c>
      <c r="P37" s="35">
        <f>+TANF!E37</f>
        <v>37338</v>
      </c>
      <c r="Q37" s="35">
        <f>+Nutrition!M37</f>
        <v>89449.614239999995</v>
      </c>
      <c r="R37" s="35">
        <f>+'Juvenile Justice'!H37</f>
        <v>20483.552</v>
      </c>
      <c r="S37" s="35">
        <f>+'Tax Credits'!M37</f>
        <v>214200</v>
      </c>
      <c r="T37" s="35">
        <f t="shared" si="1"/>
        <v>1910880.4095578608</v>
      </c>
    </row>
    <row r="38" spans="1:20" x14ac:dyDescent="0.2">
      <c r="A38" s="41" t="s">
        <v>15</v>
      </c>
      <c r="B38" s="35">
        <f>+'K-12 Educ'!G38</f>
        <v>21860092.120000001</v>
      </c>
      <c r="C38" s="35">
        <f>+PreSchool!B38</f>
        <v>22688</v>
      </c>
      <c r="D38" s="35">
        <f>+'Early Intervention'!B38+('Head Start'!B38*0.001)</f>
        <v>400068.88</v>
      </c>
      <c r="E38" s="35">
        <f>+Medicaid!J38</f>
        <v>3174056.64</v>
      </c>
      <c r="F38" s="35">
        <f>+CHIP!E38</f>
        <v>431700</v>
      </c>
      <c r="G38" s="35">
        <f>+'Mental Health'!H38</f>
        <v>377832.92676134786</v>
      </c>
      <c r="H38" s="35">
        <f>+Immunizations!E38</f>
        <v>115970.75900000001</v>
      </c>
      <c r="I38" s="35">
        <f>+MCHBG!E38</f>
        <v>59477</v>
      </c>
      <c r="J38" s="35">
        <f>+'Title IV-E'!B38</f>
        <v>386564</v>
      </c>
      <c r="K38" s="35">
        <f>+'CW - State and Local Share'!D38</f>
        <v>896996</v>
      </c>
      <c r="L38" s="35">
        <f>+'Child Care &amp; Dev Fd'!G38</f>
        <v>297875</v>
      </c>
      <c r="M38" s="35">
        <f>+'Title IV-B'!D38</f>
        <v>23320</v>
      </c>
      <c r="N38" s="35">
        <f>+'Title IV-D'!E38</f>
        <v>407173</v>
      </c>
      <c r="O38" s="64">
        <f>+'Title XX'!B38</f>
        <v>20962</v>
      </c>
      <c r="P38" s="35">
        <f>+TANF!E38</f>
        <v>1040358</v>
      </c>
      <c r="Q38" s="35">
        <f>+Nutrition!M38</f>
        <v>2515436.7746000001</v>
      </c>
      <c r="R38" s="35">
        <f>+'Juvenile Justice'!H38</f>
        <v>507495.98000000004</v>
      </c>
      <c r="S38" s="35">
        <f>+'Tax Credits'!M38</f>
        <v>4247184</v>
      </c>
      <c r="T38" s="35">
        <f t="shared" si="1"/>
        <v>36785251.080361351</v>
      </c>
    </row>
    <row r="39" spans="1:20" x14ac:dyDescent="0.2">
      <c r="A39" s="41" t="s">
        <v>16</v>
      </c>
      <c r="B39" s="35">
        <f>+'K-12 Educ'!G39</f>
        <v>5423109.4469999997</v>
      </c>
      <c r="C39" s="35">
        <f>+PreSchool!B39</f>
        <v>146407</v>
      </c>
      <c r="D39" s="35">
        <f>+'Early Intervention'!B39+('Head Start'!B39*0.001)</f>
        <v>108551.553</v>
      </c>
      <c r="E39" s="35">
        <f>+Medicaid!J39</f>
        <v>1547427.24</v>
      </c>
      <c r="F39" s="35">
        <f>+CHIP!E39</f>
        <v>146100</v>
      </c>
      <c r="G39" s="35">
        <f>+'Mental Health'!H39</f>
        <v>22017.834898665344</v>
      </c>
      <c r="H39" s="35">
        <f>+Immunizations!E39</f>
        <v>64505.682000000001</v>
      </c>
      <c r="I39" s="35">
        <f>+MCHBG!E39</f>
        <v>14187</v>
      </c>
      <c r="J39" s="35">
        <f>+'Title IV-E'!B39</f>
        <v>66722</v>
      </c>
      <c r="K39" s="35">
        <f>+'CW - State and Local Share'!D39</f>
        <v>108276</v>
      </c>
      <c r="L39" s="35">
        <f>+'Child Care &amp; Dev Fd'!G39</f>
        <v>132550</v>
      </c>
      <c r="M39" s="35">
        <f>+'Title IV-B'!D39</f>
        <v>6343</v>
      </c>
      <c r="N39" s="35">
        <f>+'Title IV-D'!E39</f>
        <v>128002</v>
      </c>
      <c r="O39" s="64">
        <f>+'Title XX'!B39</f>
        <v>26756</v>
      </c>
      <c r="P39" s="35">
        <f>+TANF!E39</f>
        <v>148560</v>
      </c>
      <c r="Q39" s="35">
        <f>+Nutrition!M39</f>
        <v>852973.20924</v>
      </c>
      <c r="R39" s="35">
        <f>+'Juvenile Justice'!H39</f>
        <v>88291.792000000001</v>
      </c>
      <c r="S39" s="35">
        <f>+'Tax Credits'!M39</f>
        <v>1645648</v>
      </c>
      <c r="T39" s="35">
        <f t="shared" si="1"/>
        <v>10676427.758138666</v>
      </c>
    </row>
    <row r="40" spans="1:20" x14ac:dyDescent="0.2">
      <c r="A40" s="41" t="s">
        <v>17</v>
      </c>
      <c r="B40" s="35">
        <f>+'K-12 Educ'!G40</f>
        <v>5706180.2999999998</v>
      </c>
      <c r="C40" s="35">
        <f>+PreSchool!B40</f>
        <v>61000</v>
      </c>
      <c r="D40" s="35">
        <f>+'Early Intervention'!B40+('Head Start'!B40*0.001)</f>
        <v>70304.7</v>
      </c>
      <c r="E40" s="35">
        <f>+Medicaid!J40</f>
        <v>964318.24000000011</v>
      </c>
      <c r="F40" s="35">
        <f>+CHIP!E40</f>
        <v>187000</v>
      </c>
      <c r="G40" s="35">
        <f>+'Mental Health'!H40</f>
        <v>150481.09845165059</v>
      </c>
      <c r="H40" s="35">
        <f>+Immunizations!E40</f>
        <v>38649.601000000002</v>
      </c>
      <c r="I40" s="35">
        <f>+MCHBG!E40</f>
        <v>41955</v>
      </c>
      <c r="J40" s="35">
        <f>+'Title IV-E'!B40</f>
        <v>115720</v>
      </c>
      <c r="K40" s="35">
        <f>+'CW - State and Local Share'!D40</f>
        <v>202028</v>
      </c>
      <c r="L40" s="35">
        <f>+'Child Care &amp; Dev Fd'!G40</f>
        <v>85586</v>
      </c>
      <c r="M40" s="35">
        <f>+'Title IV-B'!D40</f>
        <v>6252</v>
      </c>
      <c r="N40" s="35">
        <f>+'Title IV-D'!E40</f>
        <v>115711</v>
      </c>
      <c r="O40" s="64">
        <f>+'Title XX'!B40</f>
        <v>22889</v>
      </c>
      <c r="P40" s="35">
        <f>+TANF!E40</f>
        <v>343832</v>
      </c>
      <c r="Q40" s="35">
        <f>+Nutrition!M40</f>
        <v>1046185.28655</v>
      </c>
      <c r="R40" s="35">
        <f>+'Juvenile Justice'!H40</f>
        <v>109727.51000000001</v>
      </c>
      <c r="S40" s="35">
        <f>+'Tax Credits'!M40</f>
        <v>1292847</v>
      </c>
      <c r="T40" s="35">
        <f t="shared" si="1"/>
        <v>10560666.73600165</v>
      </c>
    </row>
    <row r="41" spans="1:20" x14ac:dyDescent="0.2">
      <c r="A41" s="41" t="s">
        <v>18</v>
      </c>
      <c r="B41" s="35">
        <f>+'K-12 Educ'!G41</f>
        <v>24592960.100000001</v>
      </c>
      <c r="C41" s="35">
        <f>+PreSchool!B41</f>
        <v>157592</v>
      </c>
      <c r="D41" s="35">
        <f>+'Early Intervention'!B41+('Head Start'!B41*0.001)</f>
        <v>365153.9</v>
      </c>
      <c r="E41" s="35">
        <f>+Medicaid!J41</f>
        <v>4684725</v>
      </c>
      <c r="F41" s="35">
        <f>+CHIP!E41</f>
        <v>429000</v>
      </c>
      <c r="G41" s="35">
        <f>+'Mental Health'!H41</f>
        <v>2047866.1204391345</v>
      </c>
      <c r="H41" s="35">
        <f>+Immunizations!E41</f>
        <v>126554.55900000001</v>
      </c>
      <c r="I41" s="35">
        <f>+MCHBG!E41</f>
        <v>80223</v>
      </c>
      <c r="J41" s="35">
        <f>+'Title IV-E'!B41</f>
        <v>301478</v>
      </c>
      <c r="K41" s="35">
        <f>+'CW - State and Local Share'!D41</f>
        <v>1300691</v>
      </c>
      <c r="L41" s="35">
        <f>+'Child Care &amp; Dev Fd'!G41</f>
        <v>434541</v>
      </c>
      <c r="M41" s="35">
        <f>+'Title IV-B'!D41</f>
        <v>22473</v>
      </c>
      <c r="N41" s="35">
        <f>+'Title IV-D'!E41</f>
        <v>407461</v>
      </c>
      <c r="O41" s="64">
        <f>+'Title XX'!B41</f>
        <v>60260</v>
      </c>
      <c r="P41" s="35">
        <f>+TANF!E41</f>
        <v>904981</v>
      </c>
      <c r="Q41" s="35">
        <f>+Nutrition!M41</f>
        <v>2373693.7643900001</v>
      </c>
      <c r="R41" s="35">
        <f>+'Juvenile Justice'!H41</f>
        <v>473920.52500000002</v>
      </c>
      <c r="S41" s="35">
        <f>+'Tax Credits'!M41</f>
        <v>3955588</v>
      </c>
      <c r="T41" s="35">
        <f t="shared" si="1"/>
        <v>42719161.968829133</v>
      </c>
    </row>
    <row r="42" spans="1:20" x14ac:dyDescent="0.2">
      <c r="A42" s="41" t="s">
        <v>19</v>
      </c>
      <c r="B42" s="35">
        <f>+'K-12 Educ'!G42</f>
        <v>2178974.1439999999</v>
      </c>
      <c r="C42" s="35">
        <f>+PreSchool!B42</f>
        <v>358</v>
      </c>
      <c r="D42" s="35">
        <f>+'Early Intervention'!B42+('Head Start'!B42*0.001)</f>
        <v>34694.856</v>
      </c>
      <c r="E42" s="35">
        <f>+Medicaid!J42</f>
        <v>481917.60000000003</v>
      </c>
      <c r="F42" s="35">
        <f>+CHIP!E42</f>
        <v>57200</v>
      </c>
      <c r="G42" s="35">
        <f>+'Mental Health'!H42</f>
        <v>0</v>
      </c>
      <c r="H42" s="35">
        <f>+Immunizations!E42</f>
        <v>16481.257000000001</v>
      </c>
      <c r="I42" s="35">
        <f>+MCHBG!E42</f>
        <v>3924</v>
      </c>
      <c r="J42" s="35">
        <f>+'Title IV-E'!B42</f>
        <v>19244</v>
      </c>
      <c r="K42" s="35">
        <f>+'CW - State and Local Share'!D42</f>
        <v>109005</v>
      </c>
      <c r="L42" s="35">
        <f>+'Child Care &amp; Dev Fd'!G42</f>
        <v>37819</v>
      </c>
      <c r="M42" s="35">
        <f>+'Title IV-B'!D42</f>
        <v>1862</v>
      </c>
      <c r="N42" s="35">
        <f>+'Title IV-D'!E42</f>
        <v>24345</v>
      </c>
      <c r="O42" s="64">
        <f>+'Title XX'!B42</f>
        <v>9133</v>
      </c>
      <c r="P42" s="35">
        <f>+TANF!E42</f>
        <v>137964</v>
      </c>
      <c r="Q42" s="35">
        <f>+Nutrition!M42</f>
        <v>243829.87589999998</v>
      </c>
      <c r="R42" s="35">
        <f>+'Juvenile Justice'!H42</f>
        <v>35456.68</v>
      </c>
      <c r="S42" s="35">
        <f>+'Tax Credits'!M42</f>
        <v>354300</v>
      </c>
      <c r="T42" s="35">
        <f t="shared" si="1"/>
        <v>3746508.4129000003</v>
      </c>
    </row>
    <row r="43" spans="1:20" x14ac:dyDescent="0.2">
      <c r="A43" s="41" t="s">
        <v>20</v>
      </c>
      <c r="B43" s="35">
        <f>+'K-12 Educ'!G43</f>
        <v>7355801.8130000001</v>
      </c>
      <c r="C43" s="35">
        <f>+PreSchool!B43</f>
        <v>35709</v>
      </c>
      <c r="D43" s="35">
        <f>+'Early Intervention'!B43+('Head Start'!B43*0.001)</f>
        <v>99208.187000000005</v>
      </c>
      <c r="E43" s="35">
        <f>+Medicaid!J43</f>
        <v>1194794.1000000001</v>
      </c>
      <c r="F43" s="35">
        <f>+CHIP!E43</f>
        <v>119200</v>
      </c>
      <c r="G43" s="35">
        <f>+'Mental Health'!H43</f>
        <v>70492.064745361233</v>
      </c>
      <c r="H43" s="35">
        <f>+Immunizations!E43</f>
        <v>55995.272000000004</v>
      </c>
      <c r="I43" s="35">
        <f>+MCHBG!E43</f>
        <v>20509</v>
      </c>
      <c r="J43" s="35">
        <f>+'Title IV-E'!B43</f>
        <v>42218</v>
      </c>
      <c r="K43" s="35">
        <f>+'CW - State and Local Share'!D43</f>
        <v>89404</v>
      </c>
      <c r="L43" s="35">
        <f>+'Child Care &amp; Dev Fd'!G43</f>
        <v>88987</v>
      </c>
      <c r="M43" s="35">
        <f>+'Title IV-B'!D43</f>
        <v>11191</v>
      </c>
      <c r="N43" s="35">
        <f>+'Title IV-D'!E43</f>
        <v>98822</v>
      </c>
      <c r="O43" s="64">
        <f>+'Title XX'!B43</f>
        <v>11988</v>
      </c>
      <c r="P43" s="35">
        <f>+TANF!E43</f>
        <v>148539</v>
      </c>
      <c r="Q43" s="35">
        <f>+Nutrition!M43</f>
        <v>1155124.6338599999</v>
      </c>
      <c r="R43" s="35">
        <f>+'Juvenile Justice'!H43</f>
        <v>114412.74</v>
      </c>
      <c r="S43" s="35">
        <f>+'Tax Credits'!M43</f>
        <v>2142882</v>
      </c>
      <c r="T43" s="35">
        <f t="shared" si="1"/>
        <v>12855277.81060536</v>
      </c>
    </row>
    <row r="44" spans="1:20" x14ac:dyDescent="0.2">
      <c r="A44" s="41" t="s">
        <v>21</v>
      </c>
      <c r="B44" s="35">
        <f>+'K-12 Educ'!G44</f>
        <v>1251232.655</v>
      </c>
      <c r="C44" s="35">
        <f>+PreSchool!B44</f>
        <v>0</v>
      </c>
      <c r="D44" s="35">
        <f>+'Early Intervention'!B44+('Head Start'!B44*0.001)</f>
        <v>25265.345000000001</v>
      </c>
      <c r="E44" s="35">
        <f>+Medicaid!J44</f>
        <v>236389.5</v>
      </c>
      <c r="F44" s="35">
        <f>+CHIP!E44</f>
        <v>26200</v>
      </c>
      <c r="G44" s="35">
        <f>+'Mental Health'!H44</f>
        <v>20258.051365674681</v>
      </c>
      <c r="H44" s="35">
        <f>+Immunizations!E44</f>
        <v>11965.377</v>
      </c>
      <c r="I44" s="35">
        <f>+MCHBG!E44</f>
        <v>3772</v>
      </c>
      <c r="J44" s="35">
        <f>+'Title IV-E'!B44</f>
        <v>9532</v>
      </c>
      <c r="K44" s="35">
        <f>+'CW - State and Local Share'!D44</f>
        <v>27624</v>
      </c>
      <c r="L44" s="35">
        <f>+'Child Care &amp; Dev Fd'!G44</f>
        <v>14958</v>
      </c>
      <c r="M44" s="35">
        <f>+'Title IV-B'!D44</f>
        <v>1265</v>
      </c>
      <c r="N44" s="35">
        <f>+'Title IV-D'!E44</f>
        <v>13725</v>
      </c>
      <c r="O44" s="64">
        <f>+'Title XX'!B44</f>
        <v>4536</v>
      </c>
      <c r="P44" s="35">
        <f>+TANF!E44</f>
        <v>27332</v>
      </c>
      <c r="Q44" s="35">
        <f>+Nutrition!M44</f>
        <v>151017.7536</v>
      </c>
      <c r="R44" s="35">
        <f>+'Juvenile Justice'!H44</f>
        <v>33688.448000000004</v>
      </c>
      <c r="S44" s="35">
        <f>+'Tax Credits'!M44</f>
        <v>304763</v>
      </c>
      <c r="T44" s="35">
        <f t="shared" si="1"/>
        <v>2163524.1299656751</v>
      </c>
    </row>
    <row r="45" spans="1:20" x14ac:dyDescent="0.2">
      <c r="A45" s="41" t="s">
        <v>22</v>
      </c>
      <c r="B45" s="35">
        <f>+'K-12 Educ'!G45</f>
        <v>8793806.8550000004</v>
      </c>
      <c r="C45" s="35">
        <f>+PreSchool!B45</f>
        <v>84255</v>
      </c>
      <c r="D45" s="35">
        <f>+'Early Intervention'!B45+('Head Start'!B45*0.001)</f>
        <v>152723.14499999999</v>
      </c>
      <c r="E45" s="35">
        <f>+Medicaid!J45</f>
        <v>2575200</v>
      </c>
      <c r="F45" s="35">
        <f>+CHIP!E45</f>
        <v>252000</v>
      </c>
      <c r="G45" s="35">
        <f>+'Mental Health'!H45</f>
        <v>184502.50357653791</v>
      </c>
      <c r="H45" s="35">
        <f>+Immunizations!E45</f>
        <v>82772.269</v>
      </c>
      <c r="I45" s="35">
        <f>+MCHBG!E45</f>
        <v>26621</v>
      </c>
      <c r="J45" s="35">
        <f>+'Title IV-E'!B45</f>
        <v>75227</v>
      </c>
      <c r="K45" s="35">
        <f>+'CW - State and Local Share'!D45</f>
        <v>253197</v>
      </c>
      <c r="L45" s="35">
        <f>+'Child Care &amp; Dev Fd'!G45</f>
        <v>193694</v>
      </c>
      <c r="M45" s="35">
        <f>+'Title IV-B'!D45</f>
        <v>15593</v>
      </c>
      <c r="N45" s="35">
        <f>+'Title IV-D'!E45</f>
        <v>147554</v>
      </c>
      <c r="O45" s="64">
        <f>+'Title XX'!B45</f>
        <v>19031</v>
      </c>
      <c r="P45" s="35">
        <f>+TANF!E45</f>
        <v>340342</v>
      </c>
      <c r="Q45" s="35">
        <f>+Nutrition!M45</f>
        <v>1739328.1540000001</v>
      </c>
      <c r="R45" s="35">
        <f>+'Juvenile Justice'!H45</f>
        <v>87526.293000000005</v>
      </c>
      <c r="S45" s="35">
        <f>+'Tax Credits'!M45</f>
        <v>2871682</v>
      </c>
      <c r="T45" s="35">
        <f t="shared" si="1"/>
        <v>17895055.219576538</v>
      </c>
    </row>
    <row r="46" spans="1:20" x14ac:dyDescent="0.2">
      <c r="A46" s="41" t="s">
        <v>23</v>
      </c>
      <c r="B46" s="35">
        <f>+'K-12 Educ'!G46</f>
        <v>45317357.012999997</v>
      </c>
      <c r="C46" s="35">
        <f>+PreSchool!B46</f>
        <v>727213</v>
      </c>
      <c r="D46" s="35">
        <f>+'Early Intervention'!B46+('Head Start'!B46*0.001)</f>
        <v>635225.98699999996</v>
      </c>
      <c r="E46" s="35">
        <f>+Medicaid!J46</f>
        <v>11816066.92</v>
      </c>
      <c r="F46" s="35">
        <f>+CHIP!E46</f>
        <v>1200700</v>
      </c>
      <c r="G46" s="35">
        <f>+'Mental Health'!H46</f>
        <v>124572.62773722627</v>
      </c>
      <c r="H46" s="35">
        <f>+Immunizations!E46</f>
        <v>413616.56200000003</v>
      </c>
      <c r="I46" s="35">
        <f>+MCHBG!E46</f>
        <v>79084</v>
      </c>
      <c r="J46" s="35">
        <f>+'Title IV-E'!B46</f>
        <v>325026</v>
      </c>
      <c r="K46" s="35">
        <f>+'CW - State and Local Share'!D46</f>
        <v>611575</v>
      </c>
      <c r="L46" s="35">
        <f>+'Child Care &amp; Dev Fd'!G46</f>
        <v>612061</v>
      </c>
      <c r="M46" s="35">
        <f>+'Title IV-B'!D46</f>
        <v>61036</v>
      </c>
      <c r="N46" s="35">
        <f>+'Title IV-D'!E46</f>
        <v>540559</v>
      </c>
      <c r="O46" s="64">
        <f>+'Title XX'!B46</f>
        <v>31782</v>
      </c>
      <c r="P46" s="35">
        <f>+TANF!E46</f>
        <v>880911</v>
      </c>
      <c r="Q46" s="35">
        <f>+Nutrition!M46</f>
        <v>5298551.0860000001</v>
      </c>
      <c r="R46" s="35">
        <f>+'Juvenile Justice'!H46</f>
        <v>632181.28099999996</v>
      </c>
      <c r="S46" s="35">
        <f>+'Tax Credits'!M46</f>
        <v>12710478</v>
      </c>
      <c r="T46" s="35">
        <f t="shared" si="1"/>
        <v>82017996.476737231</v>
      </c>
    </row>
    <row r="47" spans="1:20" x14ac:dyDescent="0.2">
      <c r="A47" s="41" t="s">
        <v>24</v>
      </c>
      <c r="B47" s="35">
        <f>+'K-12 Educ'!G47</f>
        <v>4480908.9220000003</v>
      </c>
      <c r="C47" s="35">
        <f>+PreSchool!B47</f>
        <v>0</v>
      </c>
      <c r="D47" s="35">
        <f>+'Early Intervention'!B47+('Head Start'!B47*0.001)</f>
        <v>61660.078000000001</v>
      </c>
      <c r="E47" s="35">
        <f>+Medicaid!J47</f>
        <v>644365.1</v>
      </c>
      <c r="F47" s="35">
        <f>+CHIP!E47</f>
        <v>74800</v>
      </c>
      <c r="G47" s="35">
        <f>+'Mental Health'!H47</f>
        <v>56035.910087719305</v>
      </c>
      <c r="H47" s="35">
        <f>+Immunizations!E47</f>
        <v>28791.202000000001</v>
      </c>
      <c r="I47" s="35">
        <f>+MCHBG!E47</f>
        <v>19108</v>
      </c>
      <c r="J47" s="35">
        <f>+'Title IV-E'!B47</f>
        <v>28153</v>
      </c>
      <c r="K47" s="35">
        <f>+'CW - State and Local Share'!D47</f>
        <v>84953</v>
      </c>
      <c r="L47" s="35">
        <f>+'Child Care &amp; Dev Fd'!G47</f>
        <v>62940</v>
      </c>
      <c r="M47" s="35">
        <f>+'Title IV-B'!D47</f>
        <v>5419</v>
      </c>
      <c r="N47" s="35">
        <f>+'Title IV-D'!E47</f>
        <v>57431</v>
      </c>
      <c r="O47" s="64">
        <f>+'Title XX'!B47</f>
        <v>12008</v>
      </c>
      <c r="P47" s="35">
        <f>+TANF!E47</f>
        <v>96422</v>
      </c>
      <c r="Q47" s="35">
        <f>+Nutrition!M47</f>
        <v>373506.92749999999</v>
      </c>
      <c r="R47" s="35">
        <f>+'Juvenile Justice'!H47</f>
        <v>58864.728000000003</v>
      </c>
      <c r="S47" s="35">
        <f>+'Tax Credits'!M47</f>
        <v>1221312</v>
      </c>
      <c r="T47" s="35">
        <f t="shared" si="1"/>
        <v>7366678.8675877191</v>
      </c>
    </row>
    <row r="48" spans="1:20" x14ac:dyDescent="0.2">
      <c r="A48" s="41" t="s">
        <v>25</v>
      </c>
      <c r="B48" s="35">
        <f>+'K-12 Educ'!G48</f>
        <v>1507584.577</v>
      </c>
      <c r="C48" s="35">
        <f>+PreSchool!B48</f>
        <v>20374</v>
      </c>
      <c r="D48" s="35">
        <f>+'Early Intervention'!B48+('Head Start'!B48*0.001)</f>
        <v>21169.423000000003</v>
      </c>
      <c r="E48" s="35">
        <f>+Medicaid!J48</f>
        <v>415982.04000000004</v>
      </c>
      <c r="F48" s="35">
        <f>+CHIP!E48</f>
        <v>9200</v>
      </c>
      <c r="G48" s="35">
        <f>+'Mental Health'!H48</f>
        <v>75656.842105263146</v>
      </c>
      <c r="H48" s="35">
        <f>+Immunizations!E48</f>
        <v>8885.116</v>
      </c>
      <c r="I48" s="35">
        <f>+MCHBG!E48</f>
        <v>3387</v>
      </c>
      <c r="J48" s="35">
        <f>+'Title IV-E'!B48</f>
        <v>16960</v>
      </c>
      <c r="K48" s="35">
        <f>+'CW - State and Local Share'!D48</f>
        <v>36776</v>
      </c>
      <c r="L48" s="35">
        <f>+'Child Care &amp; Dev Fd'!G48</f>
        <v>26040</v>
      </c>
      <c r="M48" s="35">
        <f>+'Title IV-B'!D48</f>
        <v>1105</v>
      </c>
      <c r="N48" s="35">
        <f>+'Title IV-D'!E48</f>
        <v>23255</v>
      </c>
      <c r="O48" s="64">
        <f>+'Title XX'!B48</f>
        <v>5765</v>
      </c>
      <c r="P48" s="35">
        <f>+TANF!E48</f>
        <v>68070</v>
      </c>
      <c r="Q48" s="35">
        <f>+Nutrition!M48</f>
        <v>123789.85444</v>
      </c>
      <c r="R48" s="35">
        <f>+'Juvenile Justice'!H48</f>
        <v>8841.1</v>
      </c>
      <c r="S48" s="35">
        <f>+'Tax Credits'!M48</f>
        <v>206378</v>
      </c>
      <c r="T48" s="35">
        <f t="shared" si="1"/>
        <v>2579218.9525452633</v>
      </c>
    </row>
    <row r="49" spans="1:20" x14ac:dyDescent="0.2">
      <c r="A49" s="41" t="s">
        <v>26</v>
      </c>
      <c r="B49" s="35">
        <f>+'K-12 Educ'!G49</f>
        <v>14304295.253</v>
      </c>
      <c r="C49" s="35">
        <f>+PreSchool!B49</f>
        <v>62780</v>
      </c>
      <c r="D49" s="35">
        <f>+'Early Intervention'!B49+('Head Start'!B49*0.001)</f>
        <v>142775.747</v>
      </c>
      <c r="E49" s="35">
        <f>+Medicaid!J49</f>
        <v>1946993.85</v>
      </c>
      <c r="F49" s="35">
        <f>+CHIP!E49</f>
        <v>276000</v>
      </c>
      <c r="G49" s="35">
        <f>+'Mental Health'!H49</f>
        <v>127008.52649006622</v>
      </c>
      <c r="H49" s="35">
        <f>+Immunizations!E49</f>
        <v>68962.683000000005</v>
      </c>
      <c r="I49" s="35">
        <f>+MCHBG!E49</f>
        <v>21282</v>
      </c>
      <c r="J49" s="35">
        <f>+'Title IV-E'!B49</f>
        <v>89726</v>
      </c>
      <c r="K49" s="35">
        <f>+'CW - State and Local Share'!D49</f>
        <v>494409</v>
      </c>
      <c r="L49" s="35">
        <f>+'Child Care &amp; Dev Fd'!G49</f>
        <v>176943</v>
      </c>
      <c r="M49" s="35">
        <f>+'Title IV-B'!D49</f>
        <v>12688</v>
      </c>
      <c r="N49" s="35">
        <f>+'Title IV-D'!E49</f>
        <v>161636</v>
      </c>
      <c r="O49" s="64">
        <f>+'Title XX'!B49</f>
        <v>38847</v>
      </c>
      <c r="P49" s="35">
        <f>+TANF!E49</f>
        <v>272734</v>
      </c>
      <c r="Q49" s="35">
        <f>+Nutrition!M49</f>
        <v>1193568.848</v>
      </c>
      <c r="R49" s="35">
        <f>+'Juvenile Justice'!H49</f>
        <v>479966.03399999999</v>
      </c>
      <c r="S49" s="35">
        <f>+'Tax Credits'!M49</f>
        <v>3055392</v>
      </c>
      <c r="T49" s="35">
        <f t="shared" si="1"/>
        <v>22926007.941490069</v>
      </c>
    </row>
    <row r="50" spans="1:20" x14ac:dyDescent="0.2">
      <c r="A50" s="41" t="s">
        <v>27</v>
      </c>
      <c r="B50" s="35">
        <f>+'K-12 Educ'!G50</f>
        <v>11425551.233999999</v>
      </c>
      <c r="C50" s="35">
        <f>+PreSchool!B50</f>
        <v>57056</v>
      </c>
      <c r="D50" s="35">
        <f>+'Early Intervention'!B50+('Head Start'!B50*0.001)</f>
        <v>169437.766</v>
      </c>
      <c r="E50" s="35">
        <f>+Medicaid!J50</f>
        <v>2196703.6</v>
      </c>
      <c r="F50" s="35">
        <f>+CHIP!E50</f>
        <v>71700</v>
      </c>
      <c r="G50" s="35">
        <f>+'Mental Health'!H50</f>
        <v>161779.85452245412</v>
      </c>
      <c r="H50" s="35">
        <f>+Immunizations!E50</f>
        <v>112654.698</v>
      </c>
      <c r="I50" s="35">
        <f>+MCHBG!E50</f>
        <v>16374</v>
      </c>
      <c r="J50" s="35">
        <f>+'Title IV-E'!B50</f>
        <v>130013</v>
      </c>
      <c r="K50" s="35">
        <f>+'CW - State and Local Share'!D50</f>
        <v>276010</v>
      </c>
      <c r="L50" s="35">
        <f>+'Child Care &amp; Dev Fd'!G50</f>
        <v>268614</v>
      </c>
      <c r="M50" s="35">
        <f>+'Title IV-B'!D50</f>
        <v>11680</v>
      </c>
      <c r="N50" s="35">
        <f>+'Title IV-D'!E50</f>
        <v>229896</v>
      </c>
      <c r="O50" s="64">
        <f>+'Title XX'!B50</f>
        <v>40663</v>
      </c>
      <c r="P50" s="35">
        <f>+TANF!E50</f>
        <v>977743</v>
      </c>
      <c r="Q50" s="35">
        <f>+Nutrition!M50</f>
        <v>1450396.2337</v>
      </c>
      <c r="R50" s="35">
        <f>+'Juvenile Justice'!H50</f>
        <v>117655.91</v>
      </c>
      <c r="S50" s="35">
        <f>+'Tax Credits'!M50</f>
        <v>2182339</v>
      </c>
      <c r="T50" s="35">
        <f t="shared" si="1"/>
        <v>19896267.296222456</v>
      </c>
    </row>
    <row r="51" spans="1:20" x14ac:dyDescent="0.2">
      <c r="A51" s="41" t="s">
        <v>28</v>
      </c>
      <c r="B51" s="35">
        <f>+'K-12 Educ'!G51</f>
        <v>3195011.97</v>
      </c>
      <c r="C51" s="35">
        <f>+PreSchool!B51</f>
        <v>91644</v>
      </c>
      <c r="D51" s="35">
        <f>+'Early Intervention'!B51+('Head Start'!B51*0.001)</f>
        <v>64888.03</v>
      </c>
      <c r="E51" s="35">
        <f>+Medicaid!J51</f>
        <v>645933.78</v>
      </c>
      <c r="F51" s="35">
        <f>+CHIP!E51</f>
        <v>57500</v>
      </c>
      <c r="G51" s="35">
        <f>+'Mental Health'!H51</f>
        <v>5677.4847870182566</v>
      </c>
      <c r="H51" s="35">
        <f>+Immunizations!E51</f>
        <v>21658.501</v>
      </c>
      <c r="I51" s="35">
        <f>+MCHBG!E51</f>
        <v>16509</v>
      </c>
      <c r="J51" s="35">
        <f>+'Title IV-E'!B51</f>
        <v>39099</v>
      </c>
      <c r="K51" s="35">
        <f>+'CW - State and Local Share'!D51</f>
        <v>137966</v>
      </c>
      <c r="L51" s="35">
        <f>+'Child Care &amp; Dev Fd'!G51</f>
        <v>42452</v>
      </c>
      <c r="M51" s="35">
        <f>+'Title IV-B'!D51</f>
        <v>4382</v>
      </c>
      <c r="N51" s="35">
        <f>+'Title IV-D'!E51</f>
        <v>71001</v>
      </c>
      <c r="O51" s="64">
        <f>+'Title XX'!B51</f>
        <v>15298</v>
      </c>
      <c r="P51" s="35">
        <f>+TANF!E51</f>
        <v>133594</v>
      </c>
      <c r="Q51" s="35">
        <f>+Nutrition!M51</f>
        <v>426420.80523</v>
      </c>
      <c r="R51" s="35">
        <f>+'Juvenile Justice'!H51</f>
        <v>69964.362999999998</v>
      </c>
      <c r="S51" s="35">
        <f>+'Tax Credits'!M51</f>
        <v>624039</v>
      </c>
      <c r="T51" s="35">
        <f t="shared" si="1"/>
        <v>5663038.9340170184</v>
      </c>
    </row>
    <row r="52" spans="1:20" x14ac:dyDescent="0.2">
      <c r="A52" s="41" t="s">
        <v>29</v>
      </c>
      <c r="B52" s="35">
        <f>+'K-12 Educ'!G52</f>
        <v>9896186.75</v>
      </c>
      <c r="C52" s="35">
        <f>+PreSchool!B52</f>
        <v>153864</v>
      </c>
      <c r="D52" s="35">
        <f>+'Early Intervention'!B52+('Head Start'!B52*0.001)</f>
        <v>105184.25</v>
      </c>
      <c r="E52" s="35">
        <f>+Medicaid!J52</f>
        <v>1137289.68</v>
      </c>
      <c r="F52" s="35">
        <f>+CHIP!E52</f>
        <v>131800</v>
      </c>
      <c r="G52" s="35">
        <f>+'Mental Health'!H52</f>
        <v>20702.475247524751</v>
      </c>
      <c r="H52" s="35">
        <f>+Immunizations!E52</f>
        <v>55201.251000000004</v>
      </c>
      <c r="I52" s="35">
        <f>+MCHBG!E52</f>
        <v>18782</v>
      </c>
      <c r="J52" s="35">
        <f>+'Title IV-E'!B52</f>
        <v>105154</v>
      </c>
      <c r="K52" s="35">
        <f>+'CW - State and Local Share'!D52</f>
        <v>287399</v>
      </c>
      <c r="L52" s="35">
        <f>+'Child Care &amp; Dev Fd'!G52</f>
        <v>190381</v>
      </c>
      <c r="M52" s="35">
        <f>+'Title IV-B'!D52</f>
        <v>10181</v>
      </c>
      <c r="N52" s="35">
        <f>+'Title IV-D'!E52</f>
        <v>169046</v>
      </c>
      <c r="O52" s="64">
        <f>+'Title XX'!B52</f>
        <v>25372</v>
      </c>
      <c r="P52" s="35">
        <f>+TANF!E52</f>
        <v>525043</v>
      </c>
      <c r="Q52" s="35">
        <f>+Nutrition!M52</f>
        <v>1000228.456</v>
      </c>
      <c r="R52" s="35">
        <f>+'Juvenile Justice'!H52</f>
        <v>106203.72500000001</v>
      </c>
      <c r="S52" s="35">
        <f>+'Tax Credits'!M52</f>
        <v>1964806</v>
      </c>
      <c r="T52" s="35">
        <f t="shared" si="1"/>
        <v>15902824.587247524</v>
      </c>
    </row>
    <row r="53" spans="1:20" x14ac:dyDescent="0.2">
      <c r="A53" s="41" t="s">
        <v>30</v>
      </c>
      <c r="B53" s="35">
        <f>+'K-12 Educ'!G53</f>
        <v>1632017.727</v>
      </c>
      <c r="C53" s="35">
        <f>+PreSchool!B53</f>
        <v>0</v>
      </c>
      <c r="D53" s="35">
        <f>+'Early Intervention'!B53+('Head Start'!B53*0.001)</f>
        <v>13438.273000000001</v>
      </c>
      <c r="E53" s="35">
        <f>+Medicaid!J53</f>
        <v>139343.54</v>
      </c>
      <c r="F53" s="35">
        <f>+CHIP!E53</f>
        <v>15900</v>
      </c>
      <c r="G53" s="35">
        <f>+'Mental Health'!H53</f>
        <v>1494.0350877192982</v>
      </c>
      <c r="H53" s="35">
        <f>+Immunizations!E53</f>
        <v>7552.97</v>
      </c>
      <c r="I53" s="35">
        <f>+MCHBG!E53</f>
        <v>2861</v>
      </c>
      <c r="J53" s="35">
        <f>+'Title IV-E'!B53</f>
        <v>3683</v>
      </c>
      <c r="K53" s="35">
        <f>+'CW - State and Local Share'!D53</f>
        <v>26691</v>
      </c>
      <c r="L53" s="35">
        <f>+'Child Care &amp; Dev Fd'!G53</f>
        <v>19699</v>
      </c>
      <c r="M53" s="35">
        <f>+'Title IV-B'!D53</f>
        <v>761</v>
      </c>
      <c r="N53" s="35">
        <f>+'Title IV-D'!E53</f>
        <v>16269</v>
      </c>
      <c r="O53" s="64">
        <f>+'Title XX'!B53</f>
        <v>4903</v>
      </c>
      <c r="P53" s="35">
        <f>+TANF!E53</f>
        <v>29524</v>
      </c>
      <c r="Q53" s="35">
        <f>+Nutrition!M53</f>
        <v>53212.0504</v>
      </c>
      <c r="R53" s="35">
        <f>+'Juvenile Justice'!H53</f>
        <v>24979.985000000001</v>
      </c>
      <c r="S53" s="35">
        <f>+'Tax Credits'!M53</f>
        <v>193325</v>
      </c>
      <c r="T53" s="35">
        <f t="shared" si="1"/>
        <v>2185654.5804877197</v>
      </c>
    </row>
    <row r="54" spans="1:20" ht="16" thickBot="1" x14ac:dyDescent="0.25"/>
    <row r="55" spans="1:20" ht="17" thickTop="1" thickBot="1" x14ac:dyDescent="0.25">
      <c r="A55" s="38" t="s">
        <v>39</v>
      </c>
      <c r="B55" s="39">
        <f t="shared" ref="B55:H55" si="2">SUM(B4:B53)</f>
        <v>561962859.68100011</v>
      </c>
      <c r="C55" s="39">
        <f t="shared" si="2"/>
        <v>5253037</v>
      </c>
      <c r="D55" s="39">
        <f t="shared" si="2"/>
        <v>9395809.3190000001</v>
      </c>
      <c r="E55" s="39">
        <f t="shared" si="2"/>
        <v>103778097.60999998</v>
      </c>
      <c r="F55" s="39">
        <f t="shared" si="2"/>
        <v>11948000</v>
      </c>
      <c r="G55" s="39">
        <f t="shared" si="2"/>
        <v>10802194.585727526</v>
      </c>
      <c r="H55" s="39">
        <f t="shared" si="2"/>
        <v>3971217.2279999992</v>
      </c>
      <c r="I55" s="39">
        <f>SUM(I4:I53)</f>
        <v>2909541</v>
      </c>
      <c r="J55" s="39">
        <f>SUM(J4:J53)</f>
        <v>6380136</v>
      </c>
      <c r="K55" s="39">
        <f>SUM(K4:K53)</f>
        <v>15162133</v>
      </c>
      <c r="L55" s="39">
        <f>SUM(L4:L53)</f>
        <v>8569323</v>
      </c>
      <c r="M55" s="39">
        <f>SUM(M4:M53)</f>
        <v>599553</v>
      </c>
      <c r="N55" s="39">
        <f>+'Title IV-D'!E55</f>
        <v>9465276</v>
      </c>
      <c r="O55" s="39">
        <f>SUM(O4:O54)</f>
        <v>1699421</v>
      </c>
      <c r="P55" s="39">
        <f t="shared" ref="P55:R55" si="3">SUM(P4:P53)</f>
        <v>28170741</v>
      </c>
      <c r="Q55" s="39">
        <f t="shared" si="3"/>
        <v>64576255.834000006</v>
      </c>
      <c r="R55" s="39">
        <f t="shared" si="3"/>
        <v>9148610.4339999985</v>
      </c>
      <c r="S55" s="39">
        <f>SUM(S4:S53)</f>
        <v>126309995.59999999</v>
      </c>
      <c r="T55" s="40">
        <f>SUM(B55:S55)</f>
        <v>980102201.29172778</v>
      </c>
    </row>
    <row r="56" spans="1:20" ht="16" thickTop="1" x14ac:dyDescent="0.2"/>
    <row r="57" spans="1:20" x14ac:dyDescent="0.2">
      <c r="A57" s="76"/>
    </row>
    <row r="58" spans="1:20" x14ac:dyDescent="0.2">
      <c r="A58" s="109"/>
    </row>
  </sheetData>
  <sortState ref="A4:W53">
    <sortCondition ref="A4:A53"/>
  </sortState>
  <phoneticPr fontId="8" type="noConversion"/>
  <printOptions horizontalCentered="1" verticalCentered="1"/>
  <pageMargins left="0.7" right="0.7" top="0.75" bottom="0.75" header="0.3" footer="0.3"/>
  <pageSetup paperSize="5" scale="56" orientation="landscape" horizontalDpi="1200" verticalDpi="1200"/>
  <headerFooter>
    <oddHeader>&amp;C&amp;"-,Bold"&amp;18Total Public Spending for Children and their Families</oddHeader>
    <oddFooter>&amp;L&amp;D</oddFooter>
  </headerFooter>
  <ignoredErrors>
    <ignoredError sqref="N55"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tabColor rgb="FFFFC000"/>
  </sheetPr>
  <dimension ref="A2:T55"/>
  <sheetViews>
    <sheetView topLeftCell="G4" workbookViewId="0">
      <selection activeCell="G4" sqref="G4"/>
    </sheetView>
  </sheetViews>
  <sheetFormatPr baseColWidth="10" defaultColWidth="8.83203125" defaultRowHeight="15" x14ac:dyDescent="0.2"/>
  <cols>
    <col min="1" max="1" width="20.6640625" customWidth="1"/>
    <col min="2" max="4" width="12.6640625" customWidth="1"/>
    <col min="6" max="10" width="12.6640625" customWidth="1"/>
    <col min="12" max="14" width="11.5" bestFit="1" customWidth="1"/>
    <col min="19" max="19" width="13.6640625" customWidth="1"/>
    <col min="20" max="20" width="14.83203125" customWidth="1"/>
  </cols>
  <sheetData>
    <row r="2" spans="1:20" x14ac:dyDescent="0.2">
      <c r="G2" t="s">
        <v>275</v>
      </c>
      <c r="H2" t="s">
        <v>275</v>
      </c>
      <c r="L2" t="s">
        <v>267</v>
      </c>
      <c r="S2" t="s">
        <v>318</v>
      </c>
    </row>
    <row r="3" spans="1:20" s="70" customFormat="1" ht="22.5" customHeight="1" x14ac:dyDescent="0.2">
      <c r="B3" s="3" t="s">
        <v>261</v>
      </c>
      <c r="C3" s="3" t="s">
        <v>260</v>
      </c>
      <c r="D3" s="3" t="s">
        <v>259</v>
      </c>
      <c r="E3" s="3"/>
      <c r="F3" s="3" t="s">
        <v>261</v>
      </c>
      <c r="G3" s="72" t="s">
        <v>265</v>
      </c>
      <c r="H3" s="72" t="s">
        <v>266</v>
      </c>
      <c r="I3" s="72" t="s">
        <v>260</v>
      </c>
      <c r="J3" s="72" t="s">
        <v>259</v>
      </c>
      <c r="L3" s="3" t="s">
        <v>262</v>
      </c>
      <c r="M3" s="71" t="s">
        <v>263</v>
      </c>
      <c r="N3" s="3" t="s">
        <v>264</v>
      </c>
      <c r="O3" s="3" t="s">
        <v>262</v>
      </c>
      <c r="P3" s="71" t="s">
        <v>263</v>
      </c>
      <c r="S3" s="3" t="s">
        <v>260</v>
      </c>
      <c r="T3" s="3" t="s">
        <v>259</v>
      </c>
    </row>
    <row r="4" spans="1:20" x14ac:dyDescent="0.2">
      <c r="A4" t="s">
        <v>109</v>
      </c>
      <c r="B4" s="45">
        <v>94442</v>
      </c>
      <c r="C4" s="45">
        <v>125599</v>
      </c>
      <c r="D4" s="45">
        <v>85569</v>
      </c>
      <c r="F4" s="44">
        <f>+B4/(B4+C4+D4)</f>
        <v>0.30902784594744936</v>
      </c>
      <c r="G4" s="120">
        <f>+F4*O4</f>
        <v>0.18514824034225366</v>
      </c>
      <c r="H4" s="44">
        <f>+F4*P4</f>
        <v>0.12387960560519569</v>
      </c>
      <c r="I4" s="44">
        <f>+C4/(B4+C4+D4)</f>
        <v>0.41097804391217563</v>
      </c>
      <c r="J4" s="44">
        <f>+D4/(B4+C4+D4)</f>
        <v>0.27999411014037501</v>
      </c>
      <c r="K4" s="74"/>
      <c r="L4" s="4">
        <f>+'Pop Data'!C4+'Pop Data'!D4+'Pop Data'!E4</f>
        <v>182895</v>
      </c>
      <c r="M4" s="4">
        <f>+'Pop Data'!F4+'Pop Data'!G4</f>
        <v>122372</v>
      </c>
      <c r="N4" s="4">
        <f>+L4+M4</f>
        <v>305267</v>
      </c>
      <c r="O4" s="7">
        <f>L4/N4</f>
        <v>0.59913125231354847</v>
      </c>
      <c r="P4" s="7">
        <f>+M4/N4</f>
        <v>0.40086874768645153</v>
      </c>
      <c r="S4" s="16">
        <f>+C4/(C4+D4)</f>
        <v>0.59478235338687679</v>
      </c>
      <c r="T4" s="16">
        <f>+D4/(C4+D4)</f>
        <v>0.40521764661312321</v>
      </c>
    </row>
    <row r="5" spans="1:20" x14ac:dyDescent="0.2">
      <c r="A5" t="s">
        <v>110</v>
      </c>
      <c r="B5" s="45">
        <v>10384</v>
      </c>
      <c r="C5" s="45">
        <v>8522</v>
      </c>
      <c r="D5" s="45">
        <v>6794</v>
      </c>
      <c r="F5" s="44">
        <f t="shared" ref="F5:F53" si="0">+B5/(B5+C5+D5)</f>
        <v>0.40404669260700388</v>
      </c>
      <c r="G5" s="44">
        <f t="shared" ref="G5:G53" si="1">+F5*O5</f>
        <v>0.24521108617415438</v>
      </c>
      <c r="H5" s="44">
        <f t="shared" ref="H5:H53" si="2">+F5*P5</f>
        <v>0.1588356064328495</v>
      </c>
      <c r="I5" s="44">
        <f t="shared" ref="I5:I53" si="3">+C5/(B5+C5+D5)</f>
        <v>0.33159533073929959</v>
      </c>
      <c r="J5" s="44">
        <f t="shared" ref="J5:J53" si="4">+D5/(B5+C5+D5)</f>
        <v>0.26435797665369648</v>
      </c>
      <c r="K5" s="74"/>
      <c r="L5" s="4">
        <f>+'Pop Data'!C5+'Pop Data'!D5+'Pop Data'!E5</f>
        <v>33252</v>
      </c>
      <c r="M5" s="4">
        <f>+'Pop Data'!F5+'Pop Data'!G5</f>
        <v>21539</v>
      </c>
      <c r="N5" s="4">
        <f t="shared" ref="N5:N53" si="5">+L5+M5</f>
        <v>54791</v>
      </c>
      <c r="O5" s="7">
        <f t="shared" ref="O5:O53" si="6">L5/N5</f>
        <v>0.60688799255352155</v>
      </c>
      <c r="P5" s="7">
        <f t="shared" ref="P5:P53" si="7">+M5/N5</f>
        <v>0.39311200744647845</v>
      </c>
      <c r="S5" s="16">
        <f t="shared" ref="S5:S53" si="8">+C5/(C5+D5)</f>
        <v>0.55641159571689736</v>
      </c>
      <c r="T5" s="16">
        <f t="shared" ref="T5:T53" si="9">+D5/(C5+D5)</f>
        <v>0.44358840428310264</v>
      </c>
    </row>
    <row r="6" spans="1:20" x14ac:dyDescent="0.2">
      <c r="A6" t="s">
        <v>111</v>
      </c>
      <c r="B6" s="45">
        <v>157028</v>
      </c>
      <c r="C6" s="45">
        <v>144694</v>
      </c>
      <c r="D6" s="45">
        <v>127764</v>
      </c>
      <c r="F6" s="44">
        <f t="shared" si="0"/>
        <v>0.36561843692227453</v>
      </c>
      <c r="G6" s="44">
        <f t="shared" si="1"/>
        <v>0.21426659355764616</v>
      </c>
      <c r="H6" s="44">
        <f t="shared" si="2"/>
        <v>0.15135184336462837</v>
      </c>
      <c r="I6" s="44">
        <f t="shared" si="3"/>
        <v>0.33690038790554289</v>
      </c>
      <c r="J6" s="44">
        <f t="shared" si="4"/>
        <v>0.29748117517218259</v>
      </c>
      <c r="K6" s="74"/>
      <c r="L6" s="4">
        <f>+'Pop Data'!C6+'Pop Data'!D6+'Pop Data'!E6</f>
        <v>257642</v>
      </c>
      <c r="M6" s="4">
        <f>+'Pop Data'!F6+'Pop Data'!G6</f>
        <v>181991</v>
      </c>
      <c r="N6" s="4">
        <f t="shared" si="5"/>
        <v>439633</v>
      </c>
      <c r="O6" s="7">
        <f t="shared" si="6"/>
        <v>0.58603880964349808</v>
      </c>
      <c r="P6" s="7">
        <f t="shared" si="7"/>
        <v>0.41396119035650192</v>
      </c>
      <c r="S6" s="16">
        <f t="shared" si="8"/>
        <v>0.53106900880135655</v>
      </c>
      <c r="T6" s="16">
        <f t="shared" si="9"/>
        <v>0.46893099119864345</v>
      </c>
    </row>
    <row r="7" spans="1:20" x14ac:dyDescent="0.2">
      <c r="A7" t="s">
        <v>112</v>
      </c>
      <c r="B7" s="45">
        <v>71618</v>
      </c>
      <c r="C7" s="45">
        <v>71060</v>
      </c>
      <c r="D7" s="45">
        <v>56939</v>
      </c>
      <c r="F7" s="44">
        <f t="shared" si="0"/>
        <v>0.35877705806619675</v>
      </c>
      <c r="G7" s="44">
        <f t="shared" si="1"/>
        <v>0.21256198644282906</v>
      </c>
      <c r="H7" s="44">
        <f t="shared" si="2"/>
        <v>0.14621507162336769</v>
      </c>
      <c r="I7" s="44">
        <f t="shared" si="3"/>
        <v>0.35598170496500797</v>
      </c>
      <c r="J7" s="44">
        <f t="shared" si="4"/>
        <v>0.28524123696879522</v>
      </c>
      <c r="K7" s="74"/>
      <c r="L7" s="4">
        <f>+'Pop Data'!C7+'Pop Data'!D7+'Pop Data'!E7</f>
        <v>114949</v>
      </c>
      <c r="M7" s="4">
        <f>+'Pop Data'!F7+'Pop Data'!G7</f>
        <v>79070</v>
      </c>
      <c r="N7" s="4">
        <f t="shared" si="5"/>
        <v>194019</v>
      </c>
      <c r="O7" s="7">
        <f t="shared" si="6"/>
        <v>0.59246259386967259</v>
      </c>
      <c r="P7" s="7">
        <f t="shared" si="7"/>
        <v>0.40753740613032746</v>
      </c>
      <c r="S7" s="16">
        <f t="shared" si="8"/>
        <v>0.55516058719208738</v>
      </c>
      <c r="T7" s="16">
        <f t="shared" si="9"/>
        <v>0.44483941280791256</v>
      </c>
    </row>
    <row r="8" spans="1:20" x14ac:dyDescent="0.2">
      <c r="A8" t="s">
        <v>113</v>
      </c>
      <c r="B8" s="45">
        <v>760003</v>
      </c>
      <c r="C8" s="45">
        <v>723587</v>
      </c>
      <c r="D8" s="45">
        <v>683782</v>
      </c>
      <c r="F8" s="44">
        <f t="shared" si="0"/>
        <v>0.35065646321905053</v>
      </c>
      <c r="G8" s="44">
        <f t="shared" si="1"/>
        <v>0.21073947122116116</v>
      </c>
      <c r="H8" s="44">
        <f t="shared" si="2"/>
        <v>0.13991699199788937</v>
      </c>
      <c r="I8" s="44">
        <f t="shared" si="3"/>
        <v>0.33385454827320832</v>
      </c>
      <c r="J8" s="44">
        <f t="shared" si="4"/>
        <v>0.31548898850774115</v>
      </c>
      <c r="K8" s="74"/>
      <c r="L8" s="4">
        <f>+'Pop Data'!C8+'Pop Data'!D8+'Pop Data'!E8</f>
        <v>1527403</v>
      </c>
      <c r="M8" s="4">
        <f>+'Pop Data'!F8+'Pop Data'!G8</f>
        <v>1014094</v>
      </c>
      <c r="N8" s="4">
        <f t="shared" si="5"/>
        <v>2541497</v>
      </c>
      <c r="O8" s="7">
        <f t="shared" si="6"/>
        <v>0.60098556087219457</v>
      </c>
      <c r="P8" s="7">
        <f t="shared" si="7"/>
        <v>0.39901443912780538</v>
      </c>
      <c r="S8" s="16">
        <f t="shared" si="8"/>
        <v>0.51414163591780127</v>
      </c>
      <c r="T8" s="16">
        <f t="shared" si="9"/>
        <v>0.48585836408219879</v>
      </c>
    </row>
    <row r="9" spans="1:20" x14ac:dyDescent="0.2">
      <c r="A9" t="s">
        <v>115</v>
      </c>
      <c r="B9" s="45">
        <v>80667</v>
      </c>
      <c r="C9" s="45">
        <v>79709</v>
      </c>
      <c r="D9" s="45">
        <v>63594</v>
      </c>
      <c r="F9" s="44">
        <f t="shared" si="0"/>
        <v>0.36016877260347369</v>
      </c>
      <c r="G9" s="44">
        <f t="shared" si="1"/>
        <v>0.21268296350500829</v>
      </c>
      <c r="H9" s="44">
        <f t="shared" si="2"/>
        <v>0.14748580909846543</v>
      </c>
      <c r="I9" s="44">
        <f t="shared" si="3"/>
        <v>0.35589141402866453</v>
      </c>
      <c r="J9" s="44">
        <f t="shared" si="4"/>
        <v>0.28393981336786178</v>
      </c>
      <c r="K9" s="74"/>
      <c r="L9" s="4">
        <f>+'Pop Data'!C9+'Pop Data'!D9+'Pop Data'!E9</f>
        <v>199337</v>
      </c>
      <c r="M9" s="4">
        <f>+'Pop Data'!F9+'Pop Data'!G9</f>
        <v>138231</v>
      </c>
      <c r="N9" s="4">
        <f t="shared" si="5"/>
        <v>337568</v>
      </c>
      <c r="O9" s="7">
        <f t="shared" si="6"/>
        <v>0.5905091714854489</v>
      </c>
      <c r="P9" s="7">
        <f t="shared" si="7"/>
        <v>0.40949082851455115</v>
      </c>
      <c r="S9" s="16">
        <f t="shared" si="8"/>
        <v>0.55622701548467235</v>
      </c>
      <c r="T9" s="16">
        <f t="shared" si="9"/>
        <v>0.44377298451532765</v>
      </c>
    </row>
    <row r="10" spans="1:20" x14ac:dyDescent="0.2">
      <c r="A10" t="s">
        <v>114</v>
      </c>
      <c r="B10" s="45">
        <v>40033</v>
      </c>
      <c r="C10" s="45">
        <v>39695</v>
      </c>
      <c r="D10" s="45">
        <v>36808</v>
      </c>
      <c r="F10" s="44">
        <f t="shared" si="0"/>
        <v>0.34352474771744351</v>
      </c>
      <c r="G10" s="44">
        <f t="shared" si="1"/>
        <v>0.20101389962762758</v>
      </c>
      <c r="H10" s="44">
        <f t="shared" si="2"/>
        <v>0.14251084808981593</v>
      </c>
      <c r="I10" s="44">
        <f t="shared" si="3"/>
        <v>0.34062435642204986</v>
      </c>
      <c r="J10" s="44">
        <f t="shared" si="4"/>
        <v>0.31585089586050663</v>
      </c>
      <c r="K10" s="74"/>
      <c r="L10" s="4">
        <f>+'Pop Data'!C10+'Pop Data'!D10+'Pop Data'!E10</f>
        <v>113201</v>
      </c>
      <c r="M10" s="4">
        <f>+'Pop Data'!F10+'Pop Data'!G10</f>
        <v>80255</v>
      </c>
      <c r="N10" s="4">
        <f t="shared" si="5"/>
        <v>193456</v>
      </c>
      <c r="O10" s="7">
        <f t="shared" si="6"/>
        <v>0.58515114548010916</v>
      </c>
      <c r="P10" s="7">
        <f t="shared" si="7"/>
        <v>0.41484885451989084</v>
      </c>
      <c r="S10" s="16">
        <f t="shared" si="8"/>
        <v>0.51886854110296332</v>
      </c>
      <c r="T10" s="16">
        <f t="shared" si="9"/>
        <v>0.48113145889703673</v>
      </c>
    </row>
    <row r="11" spans="1:20" x14ac:dyDescent="0.2">
      <c r="A11" t="s">
        <v>42</v>
      </c>
      <c r="B11" s="45">
        <v>13506</v>
      </c>
      <c r="C11" s="45">
        <v>10838</v>
      </c>
      <c r="D11" s="45">
        <v>10531</v>
      </c>
      <c r="F11" s="44">
        <f t="shared" si="0"/>
        <v>0.38726881720430106</v>
      </c>
      <c r="G11" s="44">
        <f t="shared" si="1"/>
        <v>0.23347329730316335</v>
      </c>
      <c r="H11" s="44">
        <f t="shared" si="2"/>
        <v>0.15379551990113771</v>
      </c>
      <c r="I11" s="44">
        <f t="shared" si="3"/>
        <v>0.31076702508960574</v>
      </c>
      <c r="J11" s="44">
        <f t="shared" si="4"/>
        <v>0.30196415770609319</v>
      </c>
      <c r="K11" s="74"/>
      <c r="L11" s="4">
        <f>+'Pop Data'!C11+'Pop Data'!D11+'Pop Data'!E11</f>
        <v>33929</v>
      </c>
      <c r="M11" s="4">
        <f>+'Pop Data'!F11+'Pop Data'!G11</f>
        <v>22350</v>
      </c>
      <c r="N11" s="4">
        <f t="shared" si="5"/>
        <v>56279</v>
      </c>
      <c r="O11" s="7">
        <f t="shared" si="6"/>
        <v>0.60287140851827503</v>
      </c>
      <c r="P11" s="7">
        <f t="shared" si="7"/>
        <v>0.39712859148172497</v>
      </c>
      <c r="S11" s="16">
        <f t="shared" si="8"/>
        <v>0.50718330291543823</v>
      </c>
      <c r="T11" s="16">
        <f t="shared" si="9"/>
        <v>0.49281669708456177</v>
      </c>
    </row>
    <row r="12" spans="1:20" x14ac:dyDescent="0.2">
      <c r="A12" t="s">
        <v>116</v>
      </c>
      <c r="B12" s="45">
        <v>362801</v>
      </c>
      <c r="C12" s="45">
        <v>338736</v>
      </c>
      <c r="D12" s="45">
        <v>299199</v>
      </c>
      <c r="F12" s="44">
        <f t="shared" si="0"/>
        <v>0.36253417484731237</v>
      </c>
      <c r="G12" s="44">
        <f t="shared" si="1"/>
        <v>0.21572255752401331</v>
      </c>
      <c r="H12" s="44">
        <f t="shared" si="2"/>
        <v>0.14681161732329909</v>
      </c>
      <c r="I12" s="44">
        <f t="shared" si="3"/>
        <v>0.33848687366098551</v>
      </c>
      <c r="J12" s="44">
        <f t="shared" si="4"/>
        <v>0.29897895149170212</v>
      </c>
      <c r="K12" s="74"/>
      <c r="L12" s="4">
        <f>+'Pop Data'!C12+'Pop Data'!D12+'Pop Data'!E12</f>
        <v>637564</v>
      </c>
      <c r="M12" s="4">
        <f>+'Pop Data'!F12+'Pop Data'!G12</f>
        <v>433899</v>
      </c>
      <c r="N12" s="4">
        <f t="shared" si="5"/>
        <v>1071463</v>
      </c>
      <c r="O12" s="7">
        <f t="shared" si="6"/>
        <v>0.59504061269497877</v>
      </c>
      <c r="P12" s="7">
        <f t="shared" si="7"/>
        <v>0.40495938730502129</v>
      </c>
      <c r="S12" s="16">
        <f t="shared" si="8"/>
        <v>0.53098826682969269</v>
      </c>
      <c r="T12" s="16">
        <f t="shared" si="9"/>
        <v>0.46901173317030731</v>
      </c>
    </row>
    <row r="13" spans="1:20" x14ac:dyDescent="0.2">
      <c r="A13" t="s">
        <v>117</v>
      </c>
      <c r="B13" s="45">
        <v>250258</v>
      </c>
      <c r="C13" s="45">
        <v>233514</v>
      </c>
      <c r="D13" s="45">
        <v>168268</v>
      </c>
      <c r="F13" s="44">
        <f t="shared" si="0"/>
        <v>0.38380774185632782</v>
      </c>
      <c r="G13" s="44">
        <f t="shared" si="1"/>
        <v>0.22695778674389758</v>
      </c>
      <c r="H13" s="44">
        <f t="shared" si="2"/>
        <v>0.15684995511243024</v>
      </c>
      <c r="I13" s="44">
        <f t="shared" si="3"/>
        <v>0.3581283356849273</v>
      </c>
      <c r="J13" s="44">
        <f t="shared" si="4"/>
        <v>0.25806392245874488</v>
      </c>
      <c r="K13" s="74"/>
      <c r="L13" s="4">
        <f>+'Pop Data'!C13+'Pop Data'!D13+'Pop Data'!E13</f>
        <v>399168</v>
      </c>
      <c r="M13" s="4">
        <f>+'Pop Data'!F13+'Pop Data'!G13</f>
        <v>275864</v>
      </c>
      <c r="N13" s="4">
        <f t="shared" si="5"/>
        <v>675032</v>
      </c>
      <c r="O13" s="7">
        <f t="shared" si="6"/>
        <v>0.59133196648455189</v>
      </c>
      <c r="P13" s="7">
        <f t="shared" si="7"/>
        <v>0.40866803351544817</v>
      </c>
      <c r="S13" s="16">
        <f t="shared" si="8"/>
        <v>0.58119577283203328</v>
      </c>
      <c r="T13" s="16">
        <f t="shared" si="9"/>
        <v>0.41880422716796672</v>
      </c>
    </row>
    <row r="14" spans="1:20" x14ac:dyDescent="0.2">
      <c r="A14" t="s">
        <v>118</v>
      </c>
      <c r="B14" s="45">
        <v>19262</v>
      </c>
      <c r="C14" s="45">
        <v>9989</v>
      </c>
      <c r="D14" s="45">
        <v>13582</v>
      </c>
      <c r="F14" s="44">
        <f t="shared" si="0"/>
        <v>0.44969999766535146</v>
      </c>
      <c r="G14" s="44">
        <f t="shared" si="1"/>
        <v>0.27256211481734999</v>
      </c>
      <c r="H14" s="44">
        <f t="shared" si="2"/>
        <v>0.17713788284800147</v>
      </c>
      <c r="I14" s="44">
        <f t="shared" si="3"/>
        <v>0.23320804052949828</v>
      </c>
      <c r="J14" s="44">
        <f t="shared" si="4"/>
        <v>0.31709196180515026</v>
      </c>
      <c r="K14" s="74"/>
      <c r="L14" s="4">
        <f>+'Pop Data'!C14+'Pop Data'!D14+'Pop Data'!E14</f>
        <v>54033</v>
      </c>
      <c r="M14" s="4">
        <f>+'Pop Data'!F14+'Pop Data'!G14</f>
        <v>35116</v>
      </c>
      <c r="N14" s="4">
        <f t="shared" si="5"/>
        <v>89149</v>
      </c>
      <c r="O14" s="7">
        <f t="shared" si="6"/>
        <v>0.60609765673198801</v>
      </c>
      <c r="P14" s="7">
        <f t="shared" si="7"/>
        <v>0.39390234326801199</v>
      </c>
      <c r="S14" s="16">
        <f t="shared" si="8"/>
        <v>0.42378346272962536</v>
      </c>
      <c r="T14" s="16">
        <f t="shared" si="9"/>
        <v>0.57621653727037458</v>
      </c>
    </row>
    <row r="15" spans="1:20" x14ac:dyDescent="0.2">
      <c r="A15" s="28" t="s">
        <v>70</v>
      </c>
      <c r="B15" s="45">
        <v>33708</v>
      </c>
      <c r="C15" s="45">
        <v>27828</v>
      </c>
      <c r="D15" s="45">
        <v>24996</v>
      </c>
      <c r="F15" s="44">
        <f t="shared" si="0"/>
        <v>0.38954375260019414</v>
      </c>
      <c r="G15" s="44">
        <f t="shared" si="1"/>
        <v>0.23190700531487959</v>
      </c>
      <c r="H15" s="44">
        <f t="shared" si="2"/>
        <v>0.15763674728531457</v>
      </c>
      <c r="I15" s="44">
        <f t="shared" si="3"/>
        <v>0.32159201220357786</v>
      </c>
      <c r="J15" s="44">
        <f t="shared" si="4"/>
        <v>0.288864235196228</v>
      </c>
      <c r="K15" s="74"/>
      <c r="L15" s="4">
        <f>+'Pop Data'!C15+'Pop Data'!D15+'Pop Data'!E15</f>
        <v>68849.939553701988</v>
      </c>
      <c r="M15" s="4">
        <f>+'Pop Data'!F15+'Pop Data'!G15</f>
        <v>46800.140889662624</v>
      </c>
      <c r="N15" s="4">
        <f t="shared" si="5"/>
        <v>115650.08044336461</v>
      </c>
      <c r="O15" s="7">
        <f t="shared" si="6"/>
        <v>0.59532980253670231</v>
      </c>
      <c r="P15" s="7">
        <f t="shared" si="7"/>
        <v>0.40467019746329774</v>
      </c>
      <c r="S15" s="16">
        <f t="shared" si="8"/>
        <v>0.52680599727396638</v>
      </c>
      <c r="T15" s="16">
        <f t="shared" si="9"/>
        <v>0.47319400272603362</v>
      </c>
    </row>
    <row r="16" spans="1:20" x14ac:dyDescent="0.2">
      <c r="A16" t="s">
        <v>120</v>
      </c>
      <c r="B16" s="45">
        <v>224618</v>
      </c>
      <c r="C16" s="45">
        <v>209663</v>
      </c>
      <c r="D16" s="45">
        <v>189991</v>
      </c>
      <c r="F16" s="44">
        <f t="shared" si="0"/>
        <v>0.35980790424686676</v>
      </c>
      <c r="G16" s="44">
        <f t="shared" si="1"/>
        <v>0.21438305615183323</v>
      </c>
      <c r="H16" s="44">
        <f t="shared" si="2"/>
        <v>0.14542484809503353</v>
      </c>
      <c r="I16" s="44">
        <f t="shared" si="3"/>
        <v>0.33585200041007768</v>
      </c>
      <c r="J16" s="44">
        <f t="shared" si="4"/>
        <v>0.30434009534305562</v>
      </c>
      <c r="K16" s="74"/>
      <c r="L16" s="4">
        <f>+'Pop Data'!C16+'Pop Data'!D16+'Pop Data'!E16</f>
        <v>486360</v>
      </c>
      <c r="M16" s="4">
        <f>+'Pop Data'!F16+'Pop Data'!G16</f>
        <v>329918</v>
      </c>
      <c r="N16" s="4">
        <f t="shared" si="5"/>
        <v>816278</v>
      </c>
      <c r="O16" s="7">
        <f t="shared" si="6"/>
        <v>0.59582642188078083</v>
      </c>
      <c r="P16" s="7">
        <f t="shared" si="7"/>
        <v>0.40417357811921917</v>
      </c>
      <c r="S16" s="16">
        <f t="shared" si="8"/>
        <v>0.52461128876478158</v>
      </c>
      <c r="T16" s="16">
        <f t="shared" si="9"/>
        <v>0.47538871123521848</v>
      </c>
    </row>
    <row r="17" spans="1:20" x14ac:dyDescent="0.2">
      <c r="A17" t="s">
        <v>121</v>
      </c>
      <c r="B17" s="45">
        <v>137076</v>
      </c>
      <c r="C17" s="45">
        <v>117840</v>
      </c>
      <c r="D17" s="45">
        <v>94608</v>
      </c>
      <c r="F17" s="44">
        <f t="shared" si="0"/>
        <v>0.39217907783156519</v>
      </c>
      <c r="G17" s="44">
        <f t="shared" si="1"/>
        <v>0.23294904305817654</v>
      </c>
      <c r="H17" s="44">
        <f t="shared" si="2"/>
        <v>0.15923003477338868</v>
      </c>
      <c r="I17" s="44">
        <f t="shared" si="3"/>
        <v>0.33714423043911146</v>
      </c>
      <c r="J17" s="44">
        <f t="shared" si="4"/>
        <v>0.27067669172932329</v>
      </c>
      <c r="K17" s="74"/>
      <c r="L17" s="4">
        <f>+'Pop Data'!C17+'Pop Data'!D17+'Pop Data'!E17</f>
        <v>252743</v>
      </c>
      <c r="M17" s="4">
        <f>+'Pop Data'!F17+'Pop Data'!G17</f>
        <v>172760</v>
      </c>
      <c r="N17" s="4">
        <f t="shared" si="5"/>
        <v>425503</v>
      </c>
      <c r="O17" s="7">
        <f t="shared" si="6"/>
        <v>0.59398641137665309</v>
      </c>
      <c r="P17" s="7">
        <f t="shared" si="7"/>
        <v>0.40601358862334697</v>
      </c>
      <c r="S17" s="16">
        <f t="shared" si="8"/>
        <v>0.55467690917306822</v>
      </c>
      <c r="T17" s="16">
        <f t="shared" si="9"/>
        <v>0.44532309082693178</v>
      </c>
    </row>
    <row r="18" spans="1:20" x14ac:dyDescent="0.2">
      <c r="A18" t="s">
        <v>122</v>
      </c>
      <c r="B18" s="45">
        <v>45403</v>
      </c>
      <c r="C18" s="45">
        <v>38313</v>
      </c>
      <c r="D18" s="45">
        <v>28857</v>
      </c>
      <c r="F18" s="44">
        <f t="shared" si="0"/>
        <v>0.40332051202330932</v>
      </c>
      <c r="G18" s="44">
        <f t="shared" si="1"/>
        <v>0.23726910742660487</v>
      </c>
      <c r="H18" s="44">
        <f t="shared" si="2"/>
        <v>0.16605140459670445</v>
      </c>
      <c r="I18" s="44">
        <f t="shared" si="3"/>
        <v>0.34033915770211332</v>
      </c>
      <c r="J18" s="44">
        <f t="shared" si="4"/>
        <v>0.25634033027457737</v>
      </c>
      <c r="K18" s="74"/>
      <c r="L18" s="4">
        <f>+'Pop Data'!C18+'Pop Data'!D18+'Pop Data'!E18</f>
        <v>115520</v>
      </c>
      <c r="M18" s="4">
        <f>+'Pop Data'!F18+'Pop Data'!G18</f>
        <v>80846</v>
      </c>
      <c r="N18" s="4">
        <f t="shared" si="5"/>
        <v>196366</v>
      </c>
      <c r="O18" s="7">
        <f t="shared" si="6"/>
        <v>0.58828921503722642</v>
      </c>
      <c r="P18" s="7">
        <f t="shared" si="7"/>
        <v>0.41171078496277358</v>
      </c>
      <c r="S18" s="16">
        <f t="shared" si="8"/>
        <v>0.57038856632425194</v>
      </c>
      <c r="T18" s="16">
        <f t="shared" si="9"/>
        <v>0.42961143367574811</v>
      </c>
    </row>
    <row r="19" spans="1:20" x14ac:dyDescent="0.2">
      <c r="A19" t="s">
        <v>123</v>
      </c>
      <c r="B19" s="45">
        <v>52281</v>
      </c>
      <c r="C19" s="45">
        <v>45290</v>
      </c>
      <c r="D19" s="45">
        <v>37435</v>
      </c>
      <c r="F19" s="44">
        <f t="shared" si="0"/>
        <v>0.38724945557975199</v>
      </c>
      <c r="G19" s="44">
        <f t="shared" si="1"/>
        <v>0.2313833929193013</v>
      </c>
      <c r="H19" s="44">
        <f t="shared" si="2"/>
        <v>0.15586606266045069</v>
      </c>
      <c r="I19" s="44">
        <f t="shared" si="3"/>
        <v>0.33546657185606565</v>
      </c>
      <c r="J19" s="44">
        <f t="shared" si="4"/>
        <v>0.27728397256418236</v>
      </c>
      <c r="K19" s="74"/>
      <c r="L19" s="4">
        <f>+'Pop Data'!C19+'Pop Data'!D19+'Pop Data'!E19</f>
        <v>121453</v>
      </c>
      <c r="M19" s="4">
        <f>+'Pop Data'!F19+'Pop Data'!G19</f>
        <v>81814</v>
      </c>
      <c r="N19" s="4">
        <f t="shared" si="5"/>
        <v>203267</v>
      </c>
      <c r="O19" s="7">
        <f t="shared" si="6"/>
        <v>0.59750475974949202</v>
      </c>
      <c r="P19" s="7">
        <f t="shared" si="7"/>
        <v>0.40249524025050798</v>
      </c>
      <c r="S19" s="16">
        <f t="shared" si="8"/>
        <v>0.54747657902689639</v>
      </c>
      <c r="T19" s="16">
        <f t="shared" si="9"/>
        <v>0.45252342097310366</v>
      </c>
    </row>
    <row r="20" spans="1:20" x14ac:dyDescent="0.2">
      <c r="A20" t="s">
        <v>124</v>
      </c>
      <c r="B20" s="45">
        <v>101191</v>
      </c>
      <c r="C20" s="45">
        <v>84861</v>
      </c>
      <c r="D20" s="45">
        <v>77767</v>
      </c>
      <c r="F20" s="44">
        <f t="shared" si="0"/>
        <v>0.38356221500346827</v>
      </c>
      <c r="G20" s="44">
        <f t="shared" si="1"/>
        <v>0.22923308624290131</v>
      </c>
      <c r="H20" s="44">
        <f t="shared" si="2"/>
        <v>0.15432912876056695</v>
      </c>
      <c r="I20" s="44">
        <f t="shared" si="3"/>
        <v>0.32166371641163072</v>
      </c>
      <c r="J20" s="44">
        <f t="shared" si="4"/>
        <v>0.29477406858490102</v>
      </c>
      <c r="K20" s="74"/>
      <c r="L20" s="4">
        <f>+'Pop Data'!C20+'Pop Data'!D20+'Pop Data'!E20</f>
        <v>167062</v>
      </c>
      <c r="M20" s="4">
        <f>+'Pop Data'!F20+'Pop Data'!G20</f>
        <v>112473</v>
      </c>
      <c r="N20" s="4">
        <f t="shared" si="5"/>
        <v>279535</v>
      </c>
      <c r="O20" s="7">
        <f t="shared" si="6"/>
        <v>0.59764251345985298</v>
      </c>
      <c r="P20" s="7">
        <f t="shared" si="7"/>
        <v>0.40235748654014702</v>
      </c>
      <c r="S20" s="16">
        <f t="shared" si="8"/>
        <v>0.52181051233489928</v>
      </c>
      <c r="T20" s="16">
        <f t="shared" si="9"/>
        <v>0.47818948766510072</v>
      </c>
    </row>
    <row r="21" spans="1:20" x14ac:dyDescent="0.2">
      <c r="A21" t="s">
        <v>125</v>
      </c>
      <c r="B21" s="45">
        <v>111786</v>
      </c>
      <c r="C21" s="45">
        <v>109718</v>
      </c>
      <c r="D21" s="45">
        <v>88549</v>
      </c>
      <c r="F21" s="44">
        <f t="shared" si="0"/>
        <v>0.36053835957078306</v>
      </c>
      <c r="G21" s="44">
        <f t="shared" si="1"/>
        <v>0.2156430961506422</v>
      </c>
      <c r="H21" s="44">
        <f t="shared" si="2"/>
        <v>0.14489526342014086</v>
      </c>
      <c r="I21" s="44">
        <f t="shared" si="3"/>
        <v>0.35386853215418007</v>
      </c>
      <c r="J21" s="44">
        <f t="shared" si="4"/>
        <v>0.28559310827503687</v>
      </c>
      <c r="K21" s="74"/>
      <c r="L21" s="4">
        <f>+'Pop Data'!C21+'Pop Data'!D21+'Pop Data'!E21</f>
        <v>188266</v>
      </c>
      <c r="M21" s="4">
        <f>+'Pop Data'!F21+'Pop Data'!G21</f>
        <v>126500</v>
      </c>
      <c r="N21" s="4">
        <f t="shared" si="5"/>
        <v>314766</v>
      </c>
      <c r="O21" s="7">
        <f t="shared" si="6"/>
        <v>0.59811415464186091</v>
      </c>
      <c r="P21" s="7">
        <f t="shared" si="7"/>
        <v>0.40188584535813904</v>
      </c>
      <c r="S21" s="16">
        <f t="shared" si="8"/>
        <v>0.55338508173321832</v>
      </c>
      <c r="T21" s="16">
        <f t="shared" si="9"/>
        <v>0.44661491826678168</v>
      </c>
    </row>
    <row r="22" spans="1:20" x14ac:dyDescent="0.2">
      <c r="A22" t="s">
        <v>0</v>
      </c>
      <c r="B22" s="45">
        <v>20670</v>
      </c>
      <c r="C22" s="45">
        <v>20534</v>
      </c>
      <c r="D22" s="45">
        <v>12861</v>
      </c>
      <c r="F22" s="44">
        <f t="shared" si="0"/>
        <v>0.38231758068991029</v>
      </c>
      <c r="G22" s="44">
        <f t="shared" si="1"/>
        <v>0.22483386960786381</v>
      </c>
      <c r="H22" s="44">
        <f t="shared" si="2"/>
        <v>0.15748371108204648</v>
      </c>
      <c r="I22" s="44">
        <f t="shared" si="3"/>
        <v>0.37980209007675947</v>
      </c>
      <c r="J22" s="44">
        <f t="shared" si="4"/>
        <v>0.23788032923333025</v>
      </c>
      <c r="K22" s="74"/>
      <c r="L22" s="4">
        <f>+'Pop Data'!C22+'Pop Data'!D22+'Pop Data'!E22</f>
        <v>39345</v>
      </c>
      <c r="M22" s="4">
        <f>+'Pop Data'!F22+'Pop Data'!G22</f>
        <v>27559</v>
      </c>
      <c r="N22" s="4">
        <f t="shared" si="5"/>
        <v>66904</v>
      </c>
      <c r="O22" s="7">
        <f t="shared" si="6"/>
        <v>0.58808143010881264</v>
      </c>
      <c r="P22" s="7">
        <f t="shared" si="7"/>
        <v>0.41191856989118736</v>
      </c>
      <c r="S22" s="16">
        <f t="shared" si="8"/>
        <v>0.61488246743524477</v>
      </c>
      <c r="T22" s="16">
        <f t="shared" si="9"/>
        <v>0.38511753256475523</v>
      </c>
    </row>
    <row r="23" spans="1:20" x14ac:dyDescent="0.2">
      <c r="A23" t="s">
        <v>1</v>
      </c>
      <c r="B23" s="45">
        <v>72058</v>
      </c>
      <c r="C23" s="45">
        <v>56977</v>
      </c>
      <c r="D23" s="45">
        <v>54009</v>
      </c>
      <c r="F23" s="44">
        <f t="shared" si="0"/>
        <v>0.39366491116889929</v>
      </c>
      <c r="G23" s="44">
        <f t="shared" si="1"/>
        <v>0.23497405237606975</v>
      </c>
      <c r="H23" s="44">
        <f t="shared" si="2"/>
        <v>0.15869085879282951</v>
      </c>
      <c r="I23" s="44">
        <f t="shared" si="3"/>
        <v>0.31127488472716941</v>
      </c>
      <c r="J23" s="44">
        <f t="shared" si="4"/>
        <v>0.2950602041039313</v>
      </c>
      <c r="K23" s="74"/>
      <c r="L23" s="4">
        <f>+'Pop Data'!C23+'Pop Data'!D23+'Pop Data'!E23</f>
        <v>217998</v>
      </c>
      <c r="M23" s="4">
        <f>+'Pop Data'!F23+'Pop Data'!G23</f>
        <v>147226</v>
      </c>
      <c r="N23" s="4">
        <f t="shared" si="5"/>
        <v>365224</v>
      </c>
      <c r="O23" s="7">
        <f t="shared" si="6"/>
        <v>0.59688848487503554</v>
      </c>
      <c r="P23" s="7">
        <f t="shared" si="7"/>
        <v>0.4031115151249644</v>
      </c>
      <c r="S23" s="16">
        <f t="shared" si="8"/>
        <v>0.51337105580884079</v>
      </c>
      <c r="T23" s="16">
        <f t="shared" si="9"/>
        <v>0.48662894419115926</v>
      </c>
    </row>
    <row r="24" spans="1:20" x14ac:dyDescent="0.2">
      <c r="A24" t="s">
        <v>2</v>
      </c>
      <c r="B24" s="45">
        <v>75281</v>
      </c>
      <c r="C24" s="45">
        <v>68468</v>
      </c>
      <c r="D24" s="45">
        <v>69457</v>
      </c>
      <c r="F24" s="44">
        <f t="shared" si="0"/>
        <v>0.35309043835539339</v>
      </c>
      <c r="G24" s="44">
        <f t="shared" si="1"/>
        <v>0.21122044135027015</v>
      </c>
      <c r="H24" s="44">
        <f t="shared" si="2"/>
        <v>0.14186999700512321</v>
      </c>
      <c r="I24" s="44">
        <f t="shared" si="3"/>
        <v>0.32113542770841347</v>
      </c>
      <c r="J24" s="44">
        <f t="shared" si="4"/>
        <v>0.32577413393619314</v>
      </c>
      <c r="K24" s="74"/>
      <c r="L24" s="4">
        <f>+'Pop Data'!C24+'Pop Data'!D24+'Pop Data'!E24</f>
        <v>218678</v>
      </c>
      <c r="M24" s="4">
        <f>+'Pop Data'!F24+'Pop Data'!G24</f>
        <v>146879</v>
      </c>
      <c r="N24" s="4">
        <f t="shared" si="5"/>
        <v>365557</v>
      </c>
      <c r="O24" s="7">
        <f t="shared" si="6"/>
        <v>0.5982049311051354</v>
      </c>
      <c r="P24" s="7">
        <f t="shared" si="7"/>
        <v>0.40179506889486455</v>
      </c>
      <c r="S24" s="16">
        <f t="shared" si="8"/>
        <v>0.4964147181439188</v>
      </c>
      <c r="T24" s="16">
        <f t="shared" si="9"/>
        <v>0.5035852818560812</v>
      </c>
    </row>
    <row r="25" spans="1:20" x14ac:dyDescent="0.2">
      <c r="A25" t="s">
        <v>3</v>
      </c>
      <c r="B25" s="45">
        <v>195679</v>
      </c>
      <c r="C25" s="45">
        <v>183658</v>
      </c>
      <c r="D25" s="45">
        <v>174816</v>
      </c>
      <c r="F25" s="44">
        <f t="shared" si="0"/>
        <v>0.35311367077323413</v>
      </c>
      <c r="G25" s="44">
        <f t="shared" si="1"/>
        <v>0.20874969023794035</v>
      </c>
      <c r="H25" s="44">
        <f t="shared" si="2"/>
        <v>0.14436398053529376</v>
      </c>
      <c r="I25" s="44">
        <f t="shared" si="3"/>
        <v>0.33142110572350958</v>
      </c>
      <c r="J25" s="44">
        <f t="shared" si="4"/>
        <v>0.31546522350325634</v>
      </c>
      <c r="K25" s="74"/>
      <c r="L25" s="4">
        <f>+'Pop Data'!C25+'Pop Data'!D25+'Pop Data'!E25</f>
        <v>340344</v>
      </c>
      <c r="M25" s="4">
        <f>+'Pop Data'!F25+'Pop Data'!G25</f>
        <v>235370</v>
      </c>
      <c r="N25" s="4">
        <f t="shared" si="5"/>
        <v>575714</v>
      </c>
      <c r="O25" s="7">
        <f t="shared" si="6"/>
        <v>0.59116853159728611</v>
      </c>
      <c r="P25" s="7">
        <f t="shared" si="7"/>
        <v>0.40883146840271384</v>
      </c>
      <c r="S25" s="16">
        <f t="shared" si="8"/>
        <v>0.51233283306460164</v>
      </c>
      <c r="T25" s="16">
        <f t="shared" si="9"/>
        <v>0.48766716693539841</v>
      </c>
    </row>
    <row r="26" spans="1:20" x14ac:dyDescent="0.2">
      <c r="A26" t="s">
        <v>4</v>
      </c>
      <c r="B26" s="45">
        <v>71895</v>
      </c>
      <c r="C26" s="45">
        <v>59724</v>
      </c>
      <c r="D26" s="45">
        <v>52144</v>
      </c>
      <c r="F26" s="44">
        <f t="shared" si="0"/>
        <v>0.39123762672572826</v>
      </c>
      <c r="G26" s="44">
        <f t="shared" si="1"/>
        <v>0.23135985728476219</v>
      </c>
      <c r="H26" s="44">
        <f t="shared" si="2"/>
        <v>0.15987776944096607</v>
      </c>
      <c r="I26" s="44">
        <f t="shared" si="3"/>
        <v>0.32500557783667006</v>
      </c>
      <c r="J26" s="44">
        <f t="shared" si="4"/>
        <v>0.28375679543760168</v>
      </c>
      <c r="K26" s="74"/>
      <c r="L26" s="4">
        <f>+'Pop Data'!C26+'Pop Data'!D26+'Pop Data'!E26</f>
        <v>205991</v>
      </c>
      <c r="M26" s="4">
        <f>+'Pop Data'!F26+'Pop Data'!G26</f>
        <v>142347</v>
      </c>
      <c r="N26" s="4">
        <f t="shared" si="5"/>
        <v>348338</v>
      </c>
      <c r="O26" s="7">
        <f t="shared" si="6"/>
        <v>0.59135380004478411</v>
      </c>
      <c r="P26" s="7">
        <f t="shared" si="7"/>
        <v>0.40864619995521589</v>
      </c>
      <c r="S26" s="16">
        <f t="shared" si="8"/>
        <v>0.53387921478885825</v>
      </c>
      <c r="T26" s="16">
        <f t="shared" si="9"/>
        <v>0.4661207852111417</v>
      </c>
    </row>
    <row r="27" spans="1:20" x14ac:dyDescent="0.2">
      <c r="A27" t="s">
        <v>5</v>
      </c>
      <c r="B27" s="45">
        <v>95424</v>
      </c>
      <c r="C27" s="45">
        <v>83208</v>
      </c>
      <c r="D27" s="45">
        <v>77207</v>
      </c>
      <c r="F27" s="44">
        <f t="shared" si="0"/>
        <v>0.37298457232869109</v>
      </c>
      <c r="G27" s="44">
        <f t="shared" si="1"/>
        <v>0.2181056144192981</v>
      </c>
      <c r="H27" s="44">
        <f t="shared" si="2"/>
        <v>0.15487895790939299</v>
      </c>
      <c r="I27" s="44">
        <f t="shared" si="3"/>
        <v>0.32523579282282999</v>
      </c>
      <c r="J27" s="44">
        <f t="shared" si="4"/>
        <v>0.30177963484847892</v>
      </c>
      <c r="K27" s="74"/>
      <c r="L27" s="4">
        <f>+'Pop Data'!C27+'Pop Data'!D27+'Pop Data'!E27</f>
        <v>119190</v>
      </c>
      <c r="M27" s="4">
        <f>+'Pop Data'!F27+'Pop Data'!G27</f>
        <v>84638</v>
      </c>
      <c r="N27" s="4">
        <f t="shared" si="5"/>
        <v>203828</v>
      </c>
      <c r="O27" s="7">
        <f t="shared" si="6"/>
        <v>0.58475773691543853</v>
      </c>
      <c r="P27" s="7">
        <f t="shared" si="7"/>
        <v>0.41524226308456147</v>
      </c>
      <c r="S27" s="16">
        <f t="shared" si="8"/>
        <v>0.51870460991802514</v>
      </c>
      <c r="T27" s="16">
        <f t="shared" si="9"/>
        <v>0.48129539008197486</v>
      </c>
    </row>
    <row r="28" spans="1:20" x14ac:dyDescent="0.2">
      <c r="A28" t="s">
        <v>6</v>
      </c>
      <c r="B28" s="45">
        <v>119940</v>
      </c>
      <c r="C28" s="45">
        <v>104033</v>
      </c>
      <c r="D28" s="45">
        <v>86256</v>
      </c>
      <c r="F28" s="44">
        <f t="shared" si="0"/>
        <v>0.38661762762346524</v>
      </c>
      <c r="G28" s="44">
        <f t="shared" si="1"/>
        <v>0.2288831078940656</v>
      </c>
      <c r="H28" s="44">
        <f t="shared" si="2"/>
        <v>0.15773451972939967</v>
      </c>
      <c r="I28" s="44">
        <f t="shared" si="3"/>
        <v>0.33534260175547742</v>
      </c>
      <c r="J28" s="44">
        <f t="shared" si="4"/>
        <v>0.27803977062105734</v>
      </c>
      <c r="K28" s="74"/>
      <c r="L28" s="4">
        <f>+'Pop Data'!C28+'Pop Data'!D28+'Pop Data'!E28</f>
        <v>224519</v>
      </c>
      <c r="M28" s="4">
        <f>+'Pop Data'!F28+'Pop Data'!G28</f>
        <v>154727</v>
      </c>
      <c r="N28" s="4">
        <f t="shared" si="5"/>
        <v>379246</v>
      </c>
      <c r="O28" s="7">
        <f t="shared" si="6"/>
        <v>0.59201415440110117</v>
      </c>
      <c r="P28" s="7">
        <f t="shared" si="7"/>
        <v>0.40798584559889889</v>
      </c>
      <c r="S28" s="16">
        <f t="shared" si="8"/>
        <v>0.5467105297731345</v>
      </c>
      <c r="T28" s="16">
        <f t="shared" si="9"/>
        <v>0.45328947022686544</v>
      </c>
    </row>
    <row r="29" spans="1:20" x14ac:dyDescent="0.2">
      <c r="A29" t="s">
        <v>7</v>
      </c>
      <c r="B29" s="45">
        <v>16417</v>
      </c>
      <c r="C29" s="45">
        <v>16044</v>
      </c>
      <c r="D29" s="45">
        <v>11272</v>
      </c>
      <c r="F29" s="44">
        <f t="shared" si="0"/>
        <v>0.37539158072851164</v>
      </c>
      <c r="G29" s="44">
        <f t="shared" si="1"/>
        <v>0.2209098541797796</v>
      </c>
      <c r="H29" s="44">
        <f t="shared" si="2"/>
        <v>0.15448172654873205</v>
      </c>
      <c r="I29" s="44">
        <f t="shared" si="3"/>
        <v>0.36686255230603892</v>
      </c>
      <c r="J29" s="44">
        <f t="shared" si="4"/>
        <v>0.25774586696544943</v>
      </c>
      <c r="K29" s="74"/>
      <c r="L29" s="4">
        <f>+'Pop Data'!C29+'Pop Data'!D29+'Pop Data'!E29</f>
        <v>35876</v>
      </c>
      <c r="M29" s="4">
        <f>+'Pop Data'!F29+'Pop Data'!G29</f>
        <v>25088</v>
      </c>
      <c r="N29" s="4">
        <f t="shared" si="5"/>
        <v>60964</v>
      </c>
      <c r="O29" s="7">
        <f t="shared" si="6"/>
        <v>0.58847844629617474</v>
      </c>
      <c r="P29" s="7">
        <f t="shared" si="7"/>
        <v>0.4115215537038252</v>
      </c>
      <c r="S29" s="16">
        <f t="shared" si="8"/>
        <v>0.58734807438863668</v>
      </c>
      <c r="T29" s="16">
        <f t="shared" si="9"/>
        <v>0.41265192561136332</v>
      </c>
    </row>
    <row r="30" spans="1:20" x14ac:dyDescent="0.2">
      <c r="A30" t="s">
        <v>8</v>
      </c>
      <c r="B30" s="45">
        <v>32902</v>
      </c>
      <c r="C30" s="45">
        <v>26003</v>
      </c>
      <c r="D30" s="45">
        <v>21934</v>
      </c>
      <c r="F30" s="44">
        <f t="shared" si="0"/>
        <v>0.40700651913061764</v>
      </c>
      <c r="G30" s="44">
        <f t="shared" si="1"/>
        <v>0.2435767913238448</v>
      </c>
      <c r="H30" s="44">
        <f t="shared" si="2"/>
        <v>0.16342972780677287</v>
      </c>
      <c r="I30" s="44">
        <f t="shared" si="3"/>
        <v>0.32166404829352169</v>
      </c>
      <c r="J30" s="44">
        <f t="shared" si="4"/>
        <v>0.27132943257586067</v>
      </c>
      <c r="K30" s="74"/>
      <c r="L30" s="4">
        <f>+'Pop Data'!C30+'Pop Data'!D30+'Pop Data'!E30</f>
        <v>79157</v>
      </c>
      <c r="M30" s="4">
        <f>+'Pop Data'!F30+'Pop Data'!G30</f>
        <v>53111</v>
      </c>
      <c r="N30" s="4">
        <f t="shared" si="5"/>
        <v>132268</v>
      </c>
      <c r="O30" s="7">
        <f t="shared" si="6"/>
        <v>0.59845918891946659</v>
      </c>
      <c r="P30" s="7">
        <f t="shared" si="7"/>
        <v>0.40154081108053347</v>
      </c>
      <c r="S30" s="16">
        <f t="shared" si="8"/>
        <v>0.54244112063750338</v>
      </c>
      <c r="T30" s="16">
        <f t="shared" si="9"/>
        <v>0.45755887936249662</v>
      </c>
    </row>
    <row r="31" spans="1:20" x14ac:dyDescent="0.2">
      <c r="A31" t="s">
        <v>92</v>
      </c>
      <c r="B31" s="45">
        <v>59664</v>
      </c>
      <c r="C31" s="45">
        <v>51171</v>
      </c>
      <c r="D31" s="45">
        <v>45688</v>
      </c>
      <c r="F31" s="44">
        <f t="shared" si="0"/>
        <v>0.38118359602103208</v>
      </c>
      <c r="G31" s="44">
        <f t="shared" si="1"/>
        <v>0.2255479938704161</v>
      </c>
      <c r="H31" s="44">
        <f t="shared" si="2"/>
        <v>0.15563560215061598</v>
      </c>
      <c r="I31" s="44">
        <f t="shared" si="3"/>
        <v>0.32692319978533507</v>
      </c>
      <c r="J31" s="44">
        <f t="shared" si="4"/>
        <v>0.2918932041936329</v>
      </c>
      <c r="K31" s="74"/>
      <c r="L31" s="4">
        <f>+'Pop Data'!C31+'Pop Data'!D31+'Pop Data'!E31</f>
        <v>108460</v>
      </c>
      <c r="M31" s="4">
        <f>+'Pop Data'!F31+'Pop Data'!G31</f>
        <v>74841</v>
      </c>
      <c r="N31" s="4">
        <f t="shared" si="5"/>
        <v>183301</v>
      </c>
      <c r="O31" s="7">
        <f t="shared" si="6"/>
        <v>0.59170435513172326</v>
      </c>
      <c r="P31" s="7">
        <f t="shared" si="7"/>
        <v>0.40829564486827674</v>
      </c>
      <c r="S31" s="16">
        <f t="shared" si="8"/>
        <v>0.52830402956875455</v>
      </c>
      <c r="T31" s="16">
        <f t="shared" si="9"/>
        <v>0.47169597043124539</v>
      </c>
    </row>
    <row r="32" spans="1:20" x14ac:dyDescent="0.2">
      <c r="A32" t="s">
        <v>9</v>
      </c>
      <c r="B32" s="45">
        <v>14441</v>
      </c>
      <c r="C32" s="45">
        <v>13688</v>
      </c>
      <c r="D32" s="45">
        <v>13940</v>
      </c>
      <c r="F32" s="44">
        <f t="shared" si="0"/>
        <v>0.34326939076279445</v>
      </c>
      <c r="G32" s="44">
        <f t="shared" si="1"/>
        <v>0.20106499832543651</v>
      </c>
      <c r="H32" s="44">
        <f t="shared" si="2"/>
        <v>0.14220439243735797</v>
      </c>
      <c r="I32" s="44">
        <f t="shared" si="3"/>
        <v>0.32537022510637287</v>
      </c>
      <c r="J32" s="44">
        <f t="shared" si="4"/>
        <v>0.33136038413083269</v>
      </c>
      <c r="K32" s="74"/>
      <c r="L32" s="4">
        <f>+'Pop Data'!C32+'Pop Data'!D32+'Pop Data'!E32</f>
        <v>38631</v>
      </c>
      <c r="M32" s="4">
        <f>+'Pop Data'!F32+'Pop Data'!G32</f>
        <v>27322</v>
      </c>
      <c r="N32" s="4">
        <f t="shared" si="5"/>
        <v>65953</v>
      </c>
      <c r="O32" s="7">
        <f t="shared" si="6"/>
        <v>0.58573529634739896</v>
      </c>
      <c r="P32" s="7">
        <f t="shared" si="7"/>
        <v>0.4142647036526011</v>
      </c>
      <c r="S32" s="16">
        <f t="shared" si="8"/>
        <v>0.4954394092949182</v>
      </c>
      <c r="T32" s="16">
        <f t="shared" si="9"/>
        <v>0.50456059070508175</v>
      </c>
    </row>
    <row r="33" spans="1:20" x14ac:dyDescent="0.2">
      <c r="A33" t="s">
        <v>10</v>
      </c>
      <c r="B33" s="45">
        <v>113637</v>
      </c>
      <c r="C33" s="45">
        <v>96946</v>
      </c>
      <c r="D33" s="45">
        <v>99643</v>
      </c>
      <c r="F33" s="44">
        <f t="shared" si="0"/>
        <v>0.36630392036773191</v>
      </c>
      <c r="G33" s="44">
        <f t="shared" si="1"/>
        <v>0.21686566083861625</v>
      </c>
      <c r="H33" s="44">
        <f t="shared" si="2"/>
        <v>0.14943825952911563</v>
      </c>
      <c r="I33" s="44">
        <f t="shared" si="3"/>
        <v>0.31250120879616794</v>
      </c>
      <c r="J33" s="44">
        <f t="shared" si="4"/>
        <v>0.32119487083610015</v>
      </c>
      <c r="K33" s="74"/>
      <c r="L33" s="4">
        <f>+'Pop Data'!C33+'Pop Data'!D33+'Pop Data'!E33</f>
        <v>312388</v>
      </c>
      <c r="M33" s="4">
        <f>+'Pop Data'!F33+'Pop Data'!G33</f>
        <v>215261</v>
      </c>
      <c r="N33" s="4">
        <f t="shared" si="5"/>
        <v>527649</v>
      </c>
      <c r="O33" s="7">
        <f t="shared" si="6"/>
        <v>0.59203750978396619</v>
      </c>
      <c r="P33" s="7">
        <f t="shared" si="7"/>
        <v>0.40796249021603376</v>
      </c>
      <c r="S33" s="16">
        <f t="shared" si="8"/>
        <v>0.49314051142230747</v>
      </c>
      <c r="T33" s="16">
        <f t="shared" si="9"/>
        <v>0.50685948857769259</v>
      </c>
    </row>
    <row r="34" spans="1:20" x14ac:dyDescent="0.2">
      <c r="A34" t="s">
        <v>11</v>
      </c>
      <c r="B34" s="45">
        <v>57298</v>
      </c>
      <c r="C34" s="45">
        <v>53210</v>
      </c>
      <c r="D34" s="45">
        <v>38896</v>
      </c>
      <c r="F34" s="44">
        <f t="shared" si="0"/>
        <v>0.38351048164707774</v>
      </c>
      <c r="G34" s="44">
        <f t="shared" si="1"/>
        <v>0.22873935691259564</v>
      </c>
      <c r="H34" s="44">
        <f t="shared" si="2"/>
        <v>0.1547711247344821</v>
      </c>
      <c r="I34" s="44">
        <f t="shared" si="3"/>
        <v>0.35614842976091671</v>
      </c>
      <c r="J34" s="44">
        <f t="shared" si="4"/>
        <v>0.26034108859200555</v>
      </c>
      <c r="K34" s="74"/>
      <c r="L34" s="4">
        <f>+'Pop Data'!C34+'Pop Data'!D34+'Pop Data'!E34</f>
        <v>85610</v>
      </c>
      <c r="M34" s="4">
        <f>+'Pop Data'!F34+'Pop Data'!G34</f>
        <v>57926</v>
      </c>
      <c r="N34" s="4">
        <f t="shared" si="5"/>
        <v>143536</v>
      </c>
      <c r="O34" s="7">
        <f t="shared" si="6"/>
        <v>0.59643573737598932</v>
      </c>
      <c r="P34" s="7">
        <f t="shared" si="7"/>
        <v>0.40356426262401068</v>
      </c>
      <c r="S34" s="16">
        <f t="shared" si="8"/>
        <v>0.57770394979697304</v>
      </c>
      <c r="T34" s="16">
        <f t="shared" si="9"/>
        <v>0.42229605020302696</v>
      </c>
    </row>
    <row r="35" spans="1:20" x14ac:dyDescent="0.2">
      <c r="A35" t="s">
        <v>12</v>
      </c>
      <c r="B35" s="45">
        <v>346565</v>
      </c>
      <c r="C35" s="45">
        <v>313122</v>
      </c>
      <c r="D35" s="45">
        <v>298923</v>
      </c>
      <c r="F35" s="44">
        <f t="shared" si="0"/>
        <v>0.36152867172259834</v>
      </c>
      <c r="G35" s="44">
        <f t="shared" si="1"/>
        <v>0.22009238984098745</v>
      </c>
      <c r="H35" s="44">
        <f t="shared" si="2"/>
        <v>0.14143628188161089</v>
      </c>
      <c r="I35" s="44">
        <f t="shared" si="3"/>
        <v>0.32664169996140247</v>
      </c>
      <c r="J35" s="44">
        <f t="shared" si="4"/>
        <v>0.3118296283159992</v>
      </c>
      <c r="K35" s="74"/>
      <c r="L35" s="4">
        <f>+'Pop Data'!C35+'Pop Data'!D35+'Pop Data'!E35</f>
        <v>710562</v>
      </c>
      <c r="M35" s="4">
        <f>+'Pop Data'!F35+'Pop Data'!G35</f>
        <v>456623</v>
      </c>
      <c r="N35" s="4">
        <f t="shared" si="5"/>
        <v>1167185</v>
      </c>
      <c r="O35" s="7">
        <f t="shared" si="6"/>
        <v>0.60878266941401749</v>
      </c>
      <c r="P35" s="7">
        <f t="shared" si="7"/>
        <v>0.39121733058598251</v>
      </c>
      <c r="S35" s="16">
        <f t="shared" si="8"/>
        <v>0.51159963728157243</v>
      </c>
      <c r="T35" s="16">
        <f t="shared" si="9"/>
        <v>0.48840036271842757</v>
      </c>
    </row>
    <row r="36" spans="1:20" x14ac:dyDescent="0.2">
      <c r="A36" t="s">
        <v>13</v>
      </c>
      <c r="B36" s="45">
        <v>220452</v>
      </c>
      <c r="C36" s="45">
        <v>198652</v>
      </c>
      <c r="D36" s="45">
        <v>167000</v>
      </c>
      <c r="F36" s="44">
        <f t="shared" si="0"/>
        <v>0.3761311985586176</v>
      </c>
      <c r="G36" s="44">
        <f t="shared" si="1"/>
        <v>0.22157970571861085</v>
      </c>
      <c r="H36" s="44">
        <f t="shared" si="2"/>
        <v>0.15455149284000674</v>
      </c>
      <c r="I36" s="44">
        <f t="shared" si="3"/>
        <v>0.33893643448944216</v>
      </c>
      <c r="J36" s="44">
        <f t="shared" si="4"/>
        <v>0.2849323669519403</v>
      </c>
      <c r="K36" s="74"/>
      <c r="L36" s="4">
        <f>+'Pop Data'!C36+'Pop Data'!D36+'Pop Data'!E36</f>
        <v>365208</v>
      </c>
      <c r="M36" s="4">
        <f>+'Pop Data'!F36+'Pop Data'!G36</f>
        <v>254732</v>
      </c>
      <c r="N36" s="4">
        <f t="shared" si="5"/>
        <v>619940</v>
      </c>
      <c r="O36" s="7">
        <f t="shared" si="6"/>
        <v>0.5891021711778559</v>
      </c>
      <c r="P36" s="7">
        <f t="shared" si="7"/>
        <v>0.4108978288221441</v>
      </c>
      <c r="S36" s="16">
        <f t="shared" si="8"/>
        <v>0.54328159014582167</v>
      </c>
      <c r="T36" s="16">
        <f t="shared" si="9"/>
        <v>0.45671840985417828</v>
      </c>
    </row>
    <row r="37" spans="1:20" x14ac:dyDescent="0.2">
      <c r="A37" t="s">
        <v>14</v>
      </c>
      <c r="B37" s="45">
        <v>5455</v>
      </c>
      <c r="C37" s="45">
        <v>6371</v>
      </c>
      <c r="D37" s="45">
        <v>5015</v>
      </c>
      <c r="F37" s="44">
        <f t="shared" si="0"/>
        <v>0.32391188171723767</v>
      </c>
      <c r="G37" s="44">
        <f t="shared" si="1"/>
        <v>0.19338893039957136</v>
      </c>
      <c r="H37" s="44">
        <f t="shared" si="2"/>
        <v>0.13052295131766631</v>
      </c>
      <c r="I37" s="44">
        <f t="shared" si="3"/>
        <v>0.37830295113116796</v>
      </c>
      <c r="J37" s="44">
        <f t="shared" si="4"/>
        <v>0.29778516715159431</v>
      </c>
      <c r="K37" s="74"/>
      <c r="L37" s="4">
        <f>+'Pop Data'!C37+'Pop Data'!D37+'Pop Data'!E37</f>
        <v>27529</v>
      </c>
      <c r="M37" s="4">
        <f>+'Pop Data'!F37+'Pop Data'!G37</f>
        <v>18580</v>
      </c>
      <c r="N37" s="4">
        <f t="shared" si="5"/>
        <v>46109</v>
      </c>
      <c r="O37" s="7">
        <f t="shared" si="6"/>
        <v>0.59704179227482701</v>
      </c>
      <c r="P37" s="7">
        <f t="shared" si="7"/>
        <v>0.40295820772517293</v>
      </c>
      <c r="S37" s="16">
        <f t="shared" si="8"/>
        <v>0.5595468118742315</v>
      </c>
      <c r="T37" s="16">
        <f t="shared" si="9"/>
        <v>0.4404531881257685</v>
      </c>
    </row>
    <row r="38" spans="1:20" x14ac:dyDescent="0.2">
      <c r="A38" t="s">
        <v>15</v>
      </c>
      <c r="B38" s="45">
        <v>235210</v>
      </c>
      <c r="C38" s="45">
        <v>205471</v>
      </c>
      <c r="D38" s="45">
        <v>180240</v>
      </c>
      <c r="F38" s="44">
        <f t="shared" si="0"/>
        <v>0.37880825419014658</v>
      </c>
      <c r="G38" s="44">
        <f t="shared" si="1"/>
        <v>0.2231805195326704</v>
      </c>
      <c r="H38" s="44">
        <f t="shared" si="2"/>
        <v>0.15562773465747617</v>
      </c>
      <c r="I38" s="44">
        <f t="shared" si="3"/>
        <v>0.33091327238086649</v>
      </c>
      <c r="J38" s="44">
        <f t="shared" si="4"/>
        <v>0.29027847342898694</v>
      </c>
      <c r="K38" s="74"/>
      <c r="L38" s="4">
        <f>+'Pop Data'!C38+'Pop Data'!D38+'Pop Data'!E38</f>
        <v>409393</v>
      </c>
      <c r="M38" s="4">
        <f>+'Pop Data'!F38+'Pop Data'!G38</f>
        <v>285477</v>
      </c>
      <c r="N38" s="4">
        <f t="shared" si="5"/>
        <v>694870</v>
      </c>
      <c r="O38" s="7">
        <f t="shared" si="6"/>
        <v>0.58916487976168208</v>
      </c>
      <c r="P38" s="7">
        <f t="shared" si="7"/>
        <v>0.41083512023831797</v>
      </c>
      <c r="S38" s="16">
        <f t="shared" si="8"/>
        <v>0.53270713046814844</v>
      </c>
      <c r="T38" s="16">
        <f t="shared" si="9"/>
        <v>0.46729286953185156</v>
      </c>
    </row>
    <row r="39" spans="1:20" x14ac:dyDescent="0.2">
      <c r="A39" t="s">
        <v>16</v>
      </c>
      <c r="B39" s="45">
        <v>85579</v>
      </c>
      <c r="C39" s="45">
        <v>74831</v>
      </c>
      <c r="D39" s="45">
        <v>61213</v>
      </c>
      <c r="F39" s="44">
        <f t="shared" si="0"/>
        <v>0.38614674469707566</v>
      </c>
      <c r="G39" s="44">
        <f t="shared" si="1"/>
        <v>0.22808569294972175</v>
      </c>
      <c r="H39" s="44">
        <f t="shared" si="2"/>
        <v>0.15806105174735391</v>
      </c>
      <c r="I39" s="44">
        <f t="shared" si="3"/>
        <v>0.33764997315260598</v>
      </c>
      <c r="J39" s="44">
        <f t="shared" si="4"/>
        <v>0.27620328215031831</v>
      </c>
      <c r="K39" s="74"/>
      <c r="L39" s="4">
        <f>+'Pop Data'!C39+'Pop Data'!D39+'Pop Data'!E39</f>
        <v>154731</v>
      </c>
      <c r="M39" s="4">
        <f>+'Pop Data'!F39+'Pop Data'!G39</f>
        <v>107227</v>
      </c>
      <c r="N39" s="4">
        <f t="shared" si="5"/>
        <v>261958</v>
      </c>
      <c r="O39" s="7">
        <f t="shared" si="6"/>
        <v>0.59067102359920287</v>
      </c>
      <c r="P39" s="7">
        <f t="shared" si="7"/>
        <v>0.40932897640079707</v>
      </c>
      <c r="S39" s="16">
        <f t="shared" si="8"/>
        <v>0.55004998382876125</v>
      </c>
      <c r="T39" s="16">
        <f t="shared" si="9"/>
        <v>0.4499500161712387</v>
      </c>
    </row>
    <row r="40" spans="1:20" x14ac:dyDescent="0.2">
      <c r="A40" t="s">
        <v>17</v>
      </c>
      <c r="B40" s="45">
        <v>74892</v>
      </c>
      <c r="C40" s="45">
        <v>65280</v>
      </c>
      <c r="D40" s="45">
        <v>54921</v>
      </c>
      <c r="F40" s="44">
        <f t="shared" si="0"/>
        <v>0.38387845796620074</v>
      </c>
      <c r="G40" s="44">
        <f t="shared" si="1"/>
        <v>0.22629439951682137</v>
      </c>
      <c r="H40" s="44">
        <f t="shared" si="2"/>
        <v>0.15758405844937937</v>
      </c>
      <c r="I40" s="44">
        <f t="shared" si="3"/>
        <v>0.33460964770647844</v>
      </c>
      <c r="J40" s="44">
        <f t="shared" si="4"/>
        <v>0.28151189432732082</v>
      </c>
      <c r="K40" s="74"/>
      <c r="L40" s="4">
        <f>+'Pop Data'!C40+'Pop Data'!D40+'Pop Data'!E40</f>
        <v>137067</v>
      </c>
      <c r="M40" s="4">
        <f>+'Pop Data'!F40+'Pop Data'!G40</f>
        <v>95449</v>
      </c>
      <c r="N40" s="4">
        <f t="shared" si="5"/>
        <v>232516</v>
      </c>
      <c r="O40" s="7">
        <f t="shared" si="6"/>
        <v>0.58949491647886598</v>
      </c>
      <c r="P40" s="7">
        <f t="shared" si="7"/>
        <v>0.41050508352113402</v>
      </c>
      <c r="S40" s="16">
        <f t="shared" si="8"/>
        <v>0.54309032370778942</v>
      </c>
      <c r="T40" s="16">
        <f t="shared" si="9"/>
        <v>0.45690967629221052</v>
      </c>
    </row>
    <row r="41" spans="1:20" x14ac:dyDescent="0.2">
      <c r="A41" t="s">
        <v>18</v>
      </c>
      <c r="B41" s="45">
        <v>193183</v>
      </c>
      <c r="C41" s="45">
        <v>173775</v>
      </c>
      <c r="D41" s="45">
        <v>165208</v>
      </c>
      <c r="F41" s="44">
        <f t="shared" si="0"/>
        <v>0.36301266897922829</v>
      </c>
      <c r="G41" s="44">
        <f t="shared" si="1"/>
        <v>0.21599542064477426</v>
      </c>
      <c r="H41" s="44">
        <f t="shared" si="2"/>
        <v>0.14701724833445406</v>
      </c>
      <c r="I41" s="44">
        <f t="shared" si="3"/>
        <v>0.32654284565342395</v>
      </c>
      <c r="J41" s="44">
        <f t="shared" si="4"/>
        <v>0.31044448536734776</v>
      </c>
      <c r="K41" s="74"/>
      <c r="L41" s="4">
        <f>+'Pop Data'!C41+'Pop Data'!D41+'Pop Data'!E41</f>
        <v>428229</v>
      </c>
      <c r="M41" s="4">
        <f>+'Pop Data'!F41+'Pop Data'!G41</f>
        <v>291474</v>
      </c>
      <c r="N41" s="4">
        <f t="shared" si="5"/>
        <v>719703</v>
      </c>
      <c r="O41" s="7">
        <f t="shared" si="6"/>
        <v>0.59500794077556995</v>
      </c>
      <c r="P41" s="7">
        <f t="shared" si="7"/>
        <v>0.4049920592244301</v>
      </c>
      <c r="S41" s="16">
        <f t="shared" si="8"/>
        <v>0.51263632689544902</v>
      </c>
      <c r="T41" s="16">
        <f t="shared" si="9"/>
        <v>0.48736367310455098</v>
      </c>
    </row>
    <row r="42" spans="1:20" x14ac:dyDescent="0.2">
      <c r="A42" t="s">
        <v>19</v>
      </c>
      <c r="B42" s="45">
        <v>15658</v>
      </c>
      <c r="C42" s="45">
        <v>12278</v>
      </c>
      <c r="D42" s="45">
        <v>13699</v>
      </c>
      <c r="F42" s="44">
        <f t="shared" si="0"/>
        <v>0.37607781914254834</v>
      </c>
      <c r="G42" s="44">
        <f t="shared" si="1"/>
        <v>0.22208997382355763</v>
      </c>
      <c r="H42" s="44">
        <f t="shared" si="2"/>
        <v>0.15398784531899071</v>
      </c>
      <c r="I42" s="44">
        <f t="shared" si="3"/>
        <v>0.29489612105199953</v>
      </c>
      <c r="J42" s="44">
        <f t="shared" si="4"/>
        <v>0.32902605980545213</v>
      </c>
      <c r="K42" s="74"/>
      <c r="L42" s="4">
        <f>+'Pop Data'!C42+'Pop Data'!D42+'Pop Data'!E42</f>
        <v>32520</v>
      </c>
      <c r="M42" s="4">
        <f>+'Pop Data'!F42+'Pop Data'!G42</f>
        <v>22548</v>
      </c>
      <c r="N42" s="4">
        <f t="shared" si="5"/>
        <v>55068</v>
      </c>
      <c r="O42" s="7">
        <f t="shared" si="6"/>
        <v>0.59054260187404661</v>
      </c>
      <c r="P42" s="7">
        <f t="shared" si="7"/>
        <v>0.40945739812595339</v>
      </c>
      <c r="S42" s="16">
        <f t="shared" si="8"/>
        <v>0.47264888170304498</v>
      </c>
      <c r="T42" s="16">
        <f t="shared" si="9"/>
        <v>0.52735111829695502</v>
      </c>
    </row>
    <row r="43" spans="1:20" x14ac:dyDescent="0.2">
      <c r="A43" t="s">
        <v>20</v>
      </c>
      <c r="B43" s="45">
        <v>110774</v>
      </c>
      <c r="C43" s="45">
        <v>98115</v>
      </c>
      <c r="D43" s="45">
        <v>78775</v>
      </c>
      <c r="F43" s="44">
        <f t="shared" si="0"/>
        <v>0.38508120585127092</v>
      </c>
      <c r="G43" s="44">
        <f t="shared" si="1"/>
        <v>0.22645660664812745</v>
      </c>
      <c r="H43" s="44">
        <f t="shared" si="2"/>
        <v>0.15862459920314345</v>
      </c>
      <c r="I43" s="44">
        <f t="shared" si="3"/>
        <v>0.34107500417153347</v>
      </c>
      <c r="J43" s="44">
        <f t="shared" si="4"/>
        <v>0.27384378997719561</v>
      </c>
      <c r="K43" s="74"/>
      <c r="L43" s="4">
        <f>+'Pop Data'!C43+'Pop Data'!D43+'Pop Data'!E43</f>
        <v>174306</v>
      </c>
      <c r="M43" s="4">
        <f>+'Pop Data'!F43+'Pop Data'!G43</f>
        <v>122095</v>
      </c>
      <c r="N43" s="4">
        <f t="shared" si="5"/>
        <v>296401</v>
      </c>
      <c r="O43" s="7">
        <f t="shared" si="6"/>
        <v>0.58807493901842434</v>
      </c>
      <c r="P43" s="7">
        <f t="shared" si="7"/>
        <v>0.41192506098157561</v>
      </c>
      <c r="S43" s="16">
        <f t="shared" si="8"/>
        <v>0.55466674204307764</v>
      </c>
      <c r="T43" s="16">
        <f t="shared" si="9"/>
        <v>0.44533325795692236</v>
      </c>
    </row>
    <row r="44" spans="1:20" x14ac:dyDescent="0.2">
      <c r="A44" t="s">
        <v>21</v>
      </c>
      <c r="B44" s="45">
        <v>15254</v>
      </c>
      <c r="C44" s="45">
        <v>11393</v>
      </c>
      <c r="D44" s="45">
        <v>8255</v>
      </c>
      <c r="F44" s="44">
        <f t="shared" si="0"/>
        <v>0.43705231791874394</v>
      </c>
      <c r="G44" s="44">
        <f t="shared" si="1"/>
        <v>0.25924004587741312</v>
      </c>
      <c r="H44" s="44">
        <f t="shared" si="2"/>
        <v>0.17781227204133082</v>
      </c>
      <c r="I44" s="44">
        <f t="shared" si="3"/>
        <v>0.3264282849120394</v>
      </c>
      <c r="J44" s="44">
        <f t="shared" si="4"/>
        <v>0.23651939716921666</v>
      </c>
      <c r="K44" s="74"/>
      <c r="L44" s="4">
        <f>+'Pop Data'!C44+'Pop Data'!D44+'Pop Data'!E44</f>
        <v>35116</v>
      </c>
      <c r="M44" s="4">
        <f>+'Pop Data'!F44+'Pop Data'!G44</f>
        <v>24086</v>
      </c>
      <c r="N44" s="4">
        <f t="shared" si="5"/>
        <v>59202</v>
      </c>
      <c r="O44" s="7">
        <f t="shared" si="6"/>
        <v>0.59315563663389748</v>
      </c>
      <c r="P44" s="7">
        <f t="shared" si="7"/>
        <v>0.40684436336610252</v>
      </c>
      <c r="S44" s="16">
        <f t="shared" si="8"/>
        <v>0.57985545602605859</v>
      </c>
      <c r="T44" s="16">
        <f t="shared" si="9"/>
        <v>0.42014454397394135</v>
      </c>
    </row>
    <row r="45" spans="1:20" x14ac:dyDescent="0.2">
      <c r="A45" t="s">
        <v>22</v>
      </c>
      <c r="B45" s="45">
        <v>138723</v>
      </c>
      <c r="C45" s="45">
        <v>127040</v>
      </c>
      <c r="D45" s="45">
        <v>113556</v>
      </c>
      <c r="F45" s="44">
        <f t="shared" si="0"/>
        <v>0.36571592775473943</v>
      </c>
      <c r="G45" s="44">
        <f t="shared" si="1"/>
        <v>0.21640081433177444</v>
      </c>
      <c r="H45" s="44">
        <f t="shared" si="2"/>
        <v>0.149315113422965</v>
      </c>
      <c r="I45" s="44">
        <f t="shared" si="3"/>
        <v>0.33491599418958712</v>
      </c>
      <c r="J45" s="44">
        <f t="shared" si="4"/>
        <v>0.29936807805567345</v>
      </c>
      <c r="K45" s="74"/>
      <c r="L45" s="4">
        <f>+'Pop Data'!C45+'Pop Data'!D45+'Pop Data'!E45</f>
        <v>239040</v>
      </c>
      <c r="M45" s="4">
        <f>+'Pop Data'!F45+'Pop Data'!G45</f>
        <v>164936</v>
      </c>
      <c r="N45" s="4">
        <f t="shared" si="5"/>
        <v>403976</v>
      </c>
      <c r="O45" s="7">
        <f t="shared" si="6"/>
        <v>0.59171831990019208</v>
      </c>
      <c r="P45" s="7">
        <f t="shared" si="7"/>
        <v>0.40828168009980792</v>
      </c>
      <c r="S45" s="16">
        <f t="shared" si="8"/>
        <v>0.52802207850504579</v>
      </c>
      <c r="T45" s="16">
        <f t="shared" si="9"/>
        <v>0.47197792149495421</v>
      </c>
    </row>
    <row r="46" spans="1:20" x14ac:dyDescent="0.2">
      <c r="A46" t="s">
        <v>23</v>
      </c>
      <c r="B46" s="45">
        <v>660536</v>
      </c>
      <c r="C46" s="45">
        <v>604156</v>
      </c>
      <c r="D46" s="45">
        <v>511972</v>
      </c>
      <c r="F46" s="44">
        <f t="shared" si="0"/>
        <v>0.37178442294097253</v>
      </c>
      <c r="G46" s="44">
        <f t="shared" si="1"/>
        <v>0.22151925847861029</v>
      </c>
      <c r="H46" s="44">
        <f t="shared" si="2"/>
        <v>0.15026516446236224</v>
      </c>
      <c r="I46" s="44">
        <f t="shared" si="3"/>
        <v>0.34005079182107589</v>
      </c>
      <c r="J46" s="44">
        <f t="shared" si="4"/>
        <v>0.28816478523795158</v>
      </c>
      <c r="K46" s="74"/>
      <c r="L46" s="4">
        <f>+'Pop Data'!C46+'Pop Data'!D46+'Pop Data'!E46</f>
        <v>1157004</v>
      </c>
      <c r="M46" s="4">
        <f>+'Pop Data'!F46+'Pop Data'!G46</f>
        <v>784841</v>
      </c>
      <c r="N46" s="4">
        <f t="shared" si="5"/>
        <v>1941845</v>
      </c>
      <c r="O46" s="7">
        <f t="shared" si="6"/>
        <v>0.59582716437202765</v>
      </c>
      <c r="P46" s="7">
        <f t="shared" si="7"/>
        <v>0.40417283562797235</v>
      </c>
      <c r="S46" s="16">
        <f t="shared" si="8"/>
        <v>0.54129633877118033</v>
      </c>
      <c r="T46" s="16">
        <f t="shared" si="9"/>
        <v>0.45870366122881961</v>
      </c>
    </row>
    <row r="47" spans="1:20" x14ac:dyDescent="0.2">
      <c r="A47" t="s">
        <v>24</v>
      </c>
      <c r="B47" s="45">
        <v>50637</v>
      </c>
      <c r="C47" s="45">
        <v>41672</v>
      </c>
      <c r="D47" s="45">
        <v>39606</v>
      </c>
      <c r="F47" s="44">
        <f t="shared" si="0"/>
        <v>0.38386081946708106</v>
      </c>
      <c r="G47" s="44">
        <f t="shared" si="1"/>
        <v>0.2266739167792525</v>
      </c>
      <c r="H47" s="44">
        <f t="shared" si="2"/>
        <v>0.15718690268782856</v>
      </c>
      <c r="I47" s="44">
        <f t="shared" si="3"/>
        <v>0.31590039040291096</v>
      </c>
      <c r="J47" s="44">
        <f t="shared" si="4"/>
        <v>0.30023879013000798</v>
      </c>
      <c r="K47" s="74"/>
      <c r="L47" s="4">
        <f>+'Pop Data'!C47+'Pop Data'!D47+'Pop Data'!E47</f>
        <v>152262</v>
      </c>
      <c r="M47" s="4">
        <f>+'Pop Data'!F47+'Pop Data'!G47</f>
        <v>105586</v>
      </c>
      <c r="N47" s="4">
        <f t="shared" si="5"/>
        <v>257848</v>
      </c>
      <c r="O47" s="7">
        <f t="shared" si="6"/>
        <v>0.59051068846762433</v>
      </c>
      <c r="P47" s="7">
        <f t="shared" si="7"/>
        <v>0.40948931153237567</v>
      </c>
      <c r="S47" s="16">
        <f t="shared" si="8"/>
        <v>0.51270946627623715</v>
      </c>
      <c r="T47" s="16">
        <f t="shared" si="9"/>
        <v>0.48729053372376291</v>
      </c>
    </row>
    <row r="48" spans="1:20" x14ac:dyDescent="0.2">
      <c r="A48" t="s">
        <v>25</v>
      </c>
      <c r="B48" s="45">
        <v>6906</v>
      </c>
      <c r="C48" s="45">
        <v>6532</v>
      </c>
      <c r="D48" s="45">
        <v>5378</v>
      </c>
      <c r="F48" s="44">
        <f t="shared" si="0"/>
        <v>0.36702806122448978</v>
      </c>
      <c r="G48" s="44">
        <f t="shared" si="1"/>
        <v>0.21507476409685131</v>
      </c>
      <c r="H48" s="44">
        <f t="shared" si="2"/>
        <v>0.15195329712763844</v>
      </c>
      <c r="I48" s="44">
        <f t="shared" si="3"/>
        <v>0.34715136054421769</v>
      </c>
      <c r="J48" s="44">
        <f t="shared" si="4"/>
        <v>0.28582057823129253</v>
      </c>
      <c r="K48" s="74"/>
      <c r="L48" s="4">
        <f>+'Pop Data'!C48+'Pop Data'!D48+'Pop Data'!E48</f>
        <v>17885</v>
      </c>
      <c r="M48" s="4">
        <f>+'Pop Data'!F48+'Pop Data'!G48</f>
        <v>12636</v>
      </c>
      <c r="N48" s="4">
        <f t="shared" si="5"/>
        <v>30521</v>
      </c>
      <c r="O48" s="7">
        <f t="shared" si="6"/>
        <v>0.58598997411618226</v>
      </c>
      <c r="P48" s="7">
        <f t="shared" si="7"/>
        <v>0.41401002588381769</v>
      </c>
      <c r="S48" s="16">
        <f t="shared" si="8"/>
        <v>0.54844668345927794</v>
      </c>
      <c r="T48" s="16">
        <f t="shared" si="9"/>
        <v>0.45155331654072206</v>
      </c>
    </row>
    <row r="49" spans="1:20" x14ac:dyDescent="0.2">
      <c r="A49" t="s">
        <v>26</v>
      </c>
      <c r="B49" s="45">
        <v>105283</v>
      </c>
      <c r="C49" s="45">
        <v>91208</v>
      </c>
      <c r="D49" s="45">
        <v>82408</v>
      </c>
      <c r="F49" s="44">
        <f t="shared" si="0"/>
        <v>0.37749507886367467</v>
      </c>
      <c r="G49" s="44">
        <f t="shared" si="1"/>
        <v>0.22545982884295368</v>
      </c>
      <c r="H49" s="44">
        <f t="shared" si="2"/>
        <v>0.15203525002072099</v>
      </c>
      <c r="I49" s="44">
        <f t="shared" si="3"/>
        <v>0.32702878102825755</v>
      </c>
      <c r="J49" s="44">
        <f t="shared" si="4"/>
        <v>0.29547614010806778</v>
      </c>
      <c r="K49" s="74"/>
      <c r="L49" s="4">
        <f>+'Pop Data'!C49+'Pop Data'!D49+'Pop Data'!E49</f>
        <v>304361</v>
      </c>
      <c r="M49" s="4">
        <f>+'Pop Data'!F49+'Pop Data'!G49</f>
        <v>205241</v>
      </c>
      <c r="N49" s="4">
        <f t="shared" si="5"/>
        <v>509602</v>
      </c>
      <c r="O49" s="7">
        <f t="shared" si="6"/>
        <v>0.59725236557156369</v>
      </c>
      <c r="P49" s="7">
        <f t="shared" si="7"/>
        <v>0.40274763442843631</v>
      </c>
      <c r="S49" s="16">
        <f t="shared" si="8"/>
        <v>0.52534328633305682</v>
      </c>
      <c r="T49" s="16">
        <f t="shared" si="9"/>
        <v>0.47465671366694312</v>
      </c>
    </row>
    <row r="50" spans="1:20" x14ac:dyDescent="0.2">
      <c r="A50" t="s">
        <v>27</v>
      </c>
      <c r="B50" s="45">
        <v>107277</v>
      </c>
      <c r="C50" s="45">
        <v>96028</v>
      </c>
      <c r="D50" s="45">
        <v>84842</v>
      </c>
      <c r="F50" s="44">
        <f t="shared" si="0"/>
        <v>0.37229955543524657</v>
      </c>
      <c r="G50" s="44">
        <f t="shared" si="1"/>
        <v>0.22186989191591763</v>
      </c>
      <c r="H50" s="44">
        <f t="shared" si="2"/>
        <v>0.1504296635193289</v>
      </c>
      <c r="I50" s="44">
        <f t="shared" si="3"/>
        <v>0.33326045386556169</v>
      </c>
      <c r="J50" s="44">
        <f t="shared" si="4"/>
        <v>0.29443999069919174</v>
      </c>
      <c r="K50" s="74"/>
      <c r="L50" s="4">
        <f>+'Pop Data'!C50+'Pop Data'!D50+'Pop Data'!E50</f>
        <v>264097</v>
      </c>
      <c r="M50" s="4">
        <f>+'Pop Data'!F50+'Pop Data'!G50</f>
        <v>179060</v>
      </c>
      <c r="N50" s="4">
        <f t="shared" si="5"/>
        <v>443157</v>
      </c>
      <c r="O50" s="7">
        <f t="shared" si="6"/>
        <v>0.59594455238211286</v>
      </c>
      <c r="P50" s="7">
        <f t="shared" si="7"/>
        <v>0.40405544761788709</v>
      </c>
      <c r="S50" s="16">
        <f t="shared" si="8"/>
        <v>0.53092276220489854</v>
      </c>
      <c r="T50" s="16">
        <f t="shared" si="9"/>
        <v>0.46907723779510146</v>
      </c>
    </row>
    <row r="51" spans="1:20" x14ac:dyDescent="0.2">
      <c r="A51" t="s">
        <v>28</v>
      </c>
      <c r="B51" s="45">
        <v>34777</v>
      </c>
      <c r="C51" s="45">
        <v>28116</v>
      </c>
      <c r="D51" s="45">
        <v>29074</v>
      </c>
      <c r="F51" s="44">
        <f t="shared" si="0"/>
        <v>0.37814650907390696</v>
      </c>
      <c r="G51" s="44">
        <f t="shared" si="1"/>
        <v>0.22414144449322576</v>
      </c>
      <c r="H51" s="44">
        <f t="shared" si="2"/>
        <v>0.15400506458068119</v>
      </c>
      <c r="I51" s="44">
        <f t="shared" si="3"/>
        <v>0.30571835549708049</v>
      </c>
      <c r="J51" s="44">
        <f t="shared" si="4"/>
        <v>0.31613513542901256</v>
      </c>
      <c r="K51" s="74"/>
      <c r="L51" s="4">
        <f>+'Pop Data'!C51+'Pop Data'!D51+'Pop Data'!E51</f>
        <v>61094</v>
      </c>
      <c r="M51" s="4">
        <f>+'Pop Data'!F51+'Pop Data'!G51</f>
        <v>41977</v>
      </c>
      <c r="N51" s="4">
        <f t="shared" si="5"/>
        <v>103071</v>
      </c>
      <c r="O51" s="7">
        <f t="shared" si="6"/>
        <v>0.5927370453376799</v>
      </c>
      <c r="P51" s="7">
        <f t="shared" si="7"/>
        <v>0.40726295466232015</v>
      </c>
      <c r="S51" s="16">
        <f t="shared" si="8"/>
        <v>0.49162440986186395</v>
      </c>
      <c r="T51" s="16">
        <f t="shared" si="9"/>
        <v>0.50837559013813605</v>
      </c>
    </row>
    <row r="52" spans="1:20" x14ac:dyDescent="0.2">
      <c r="A52" t="s">
        <v>29</v>
      </c>
      <c r="B52" s="45">
        <v>90376</v>
      </c>
      <c r="C52" s="45">
        <v>76426</v>
      </c>
      <c r="D52" s="45">
        <v>68632</v>
      </c>
      <c r="F52" s="44">
        <f t="shared" si="0"/>
        <v>0.38386978941019562</v>
      </c>
      <c r="G52" s="44">
        <f t="shared" si="1"/>
        <v>0.22765172076146103</v>
      </c>
      <c r="H52" s="44">
        <f t="shared" si="2"/>
        <v>0.15621806864873458</v>
      </c>
      <c r="I52" s="44">
        <f t="shared" si="3"/>
        <v>0.32461751488739943</v>
      </c>
      <c r="J52" s="44">
        <f t="shared" si="4"/>
        <v>0.2915126957024049</v>
      </c>
      <c r="K52" s="74"/>
      <c r="L52" s="4">
        <f>+'Pop Data'!C52+'Pop Data'!D52+'Pop Data'!E52</f>
        <v>207910</v>
      </c>
      <c r="M52" s="4">
        <f>+'Pop Data'!F52+'Pop Data'!G52</f>
        <v>142671</v>
      </c>
      <c r="N52" s="4">
        <f t="shared" si="5"/>
        <v>350581</v>
      </c>
      <c r="O52" s="7">
        <f t="shared" si="6"/>
        <v>0.59304411819237213</v>
      </c>
      <c r="P52" s="7">
        <f t="shared" si="7"/>
        <v>0.40695588180762793</v>
      </c>
      <c r="S52" s="16">
        <f t="shared" si="8"/>
        <v>0.52686511602255648</v>
      </c>
      <c r="T52" s="16">
        <f t="shared" si="9"/>
        <v>0.47313488397744352</v>
      </c>
    </row>
    <row r="53" spans="1:20" x14ac:dyDescent="0.2">
      <c r="A53" t="s">
        <v>30</v>
      </c>
      <c r="B53" s="45">
        <v>8554</v>
      </c>
      <c r="C53" s="45">
        <v>7913</v>
      </c>
      <c r="D53" s="45">
        <v>6007</v>
      </c>
      <c r="F53" s="44">
        <f t="shared" si="0"/>
        <v>0.38061760256296162</v>
      </c>
      <c r="G53" s="44">
        <f t="shared" si="1"/>
        <v>0.22142531600178927</v>
      </c>
      <c r="H53" s="44">
        <f t="shared" si="2"/>
        <v>0.15919228656117235</v>
      </c>
      <c r="I53" s="44">
        <f t="shared" si="3"/>
        <v>0.3520957550947762</v>
      </c>
      <c r="J53" s="44">
        <f t="shared" si="4"/>
        <v>0.26728664234226218</v>
      </c>
      <c r="K53" s="74"/>
      <c r="L53" s="4">
        <f>+'Pop Data'!C53+'Pop Data'!D53+'Pop Data'!E53</f>
        <v>22451</v>
      </c>
      <c r="M53" s="4">
        <f>+'Pop Data'!F53+'Pop Data'!G53</f>
        <v>16141</v>
      </c>
      <c r="N53" s="4">
        <f t="shared" si="5"/>
        <v>38592</v>
      </c>
      <c r="O53" s="7">
        <f t="shared" si="6"/>
        <v>0.58175269485903813</v>
      </c>
      <c r="P53" s="7">
        <f t="shared" si="7"/>
        <v>0.41824730514096187</v>
      </c>
      <c r="S53" s="16">
        <f t="shared" si="8"/>
        <v>0.56846264367816091</v>
      </c>
      <c r="T53" s="16">
        <f t="shared" si="9"/>
        <v>0.43153735632183909</v>
      </c>
    </row>
    <row r="54" spans="1:20" x14ac:dyDescent="0.2">
      <c r="K54" s="74"/>
    </row>
    <row r="55" spans="1:20" x14ac:dyDescent="0.2">
      <c r="B55" s="45">
        <v>6017462</v>
      </c>
      <c r="C55" s="45">
        <v>5491499</v>
      </c>
      <c r="D55" s="45">
        <v>4827880</v>
      </c>
      <c r="F55" s="44">
        <v>0.37</v>
      </c>
      <c r="G55" s="44"/>
      <c r="H55" s="44"/>
      <c r="I55" s="44">
        <v>0.34</v>
      </c>
      <c r="J55" s="44">
        <v>0.3</v>
      </c>
      <c r="K55" s="7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tabColor rgb="FF00B0F0"/>
  </sheetPr>
  <dimension ref="A1:H55"/>
  <sheetViews>
    <sheetView topLeftCell="A14" workbookViewId="0">
      <selection activeCell="B55" sqref="B55"/>
    </sheetView>
  </sheetViews>
  <sheetFormatPr baseColWidth="10" defaultColWidth="8.83203125" defaultRowHeight="15" x14ac:dyDescent="0.2"/>
  <cols>
    <col min="1" max="1" width="18.5" customWidth="1"/>
    <col min="2" max="2" width="18.33203125" style="4" customWidth="1"/>
    <col min="3" max="3" width="16" style="4" customWidth="1"/>
    <col min="4" max="7" width="19.83203125" style="4" customWidth="1"/>
    <col min="8" max="8" width="7.6640625" style="4" customWidth="1"/>
    <col min="9" max="9" width="16.83203125" customWidth="1"/>
    <col min="10" max="10" width="18.6640625" customWidth="1"/>
  </cols>
  <sheetData>
    <row r="1" spans="1:8" x14ac:dyDescent="0.2">
      <c r="A1" s="1" t="s">
        <v>38</v>
      </c>
    </row>
    <row r="2" spans="1:8" x14ac:dyDescent="0.2">
      <c r="A2" s="2" t="s">
        <v>31</v>
      </c>
    </row>
    <row r="3" spans="1:8" s="3" customFormat="1" x14ac:dyDescent="0.2">
      <c r="B3" s="5" t="s">
        <v>35</v>
      </c>
      <c r="C3" s="5" t="s">
        <v>36</v>
      </c>
      <c r="D3" s="5" t="s">
        <v>37</v>
      </c>
      <c r="E3" s="5" t="s">
        <v>239</v>
      </c>
      <c r="F3" s="5" t="s">
        <v>240</v>
      </c>
      <c r="G3" s="5" t="s">
        <v>242</v>
      </c>
      <c r="H3" s="5"/>
    </row>
    <row r="4" spans="1:8" x14ac:dyDescent="0.2">
      <c r="A4" t="s">
        <v>109</v>
      </c>
      <c r="B4" s="4">
        <v>6386517</v>
      </c>
      <c r="C4" s="4">
        <v>582173</v>
      </c>
      <c r="D4" s="4">
        <f>+B4+C4</f>
        <v>6968690</v>
      </c>
      <c r="E4" s="4">
        <f>-'Head Start'!B4 * 0.001</f>
        <v>-125717.736</v>
      </c>
      <c r="F4" s="4">
        <f>-PreSchool!B4</f>
        <v>-19087</v>
      </c>
      <c r="G4" s="4">
        <f>+D4+E4+F4</f>
        <v>6823885.2640000004</v>
      </c>
    </row>
    <row r="5" spans="1:8" x14ac:dyDescent="0.2">
      <c r="A5" t="s">
        <v>110</v>
      </c>
      <c r="B5" s="4">
        <v>2292205</v>
      </c>
      <c r="C5" s="4">
        <v>145341</v>
      </c>
      <c r="D5" s="4">
        <f t="shared" ref="D5:D53" si="0">+B5+C5</f>
        <v>2437546</v>
      </c>
      <c r="E5" s="4">
        <f>-'Head Start'!B5 * 0.001</f>
        <v>-14373.541000000001</v>
      </c>
      <c r="F5" s="4">
        <f>-PreSchool!B5</f>
        <v>-1700</v>
      </c>
      <c r="G5" s="4">
        <f t="shared" ref="G5:G11" si="1">+D5+E5+F5</f>
        <v>2421472.4589999998</v>
      </c>
    </row>
    <row r="6" spans="1:8" x14ac:dyDescent="0.2">
      <c r="A6" t="s">
        <v>111</v>
      </c>
      <c r="B6" s="4">
        <v>7974545</v>
      </c>
      <c r="C6" s="4">
        <v>922249</v>
      </c>
      <c r="D6" s="4">
        <f t="shared" si="0"/>
        <v>8896794</v>
      </c>
      <c r="E6" s="4">
        <f>-'Head Start'!B6 * 0.001</f>
        <v>-121746.967</v>
      </c>
      <c r="F6" s="4">
        <f>-PreSchool!B6</f>
        <v>-9224</v>
      </c>
      <c r="G6" s="4">
        <f t="shared" si="1"/>
        <v>8765823.0329999998</v>
      </c>
    </row>
    <row r="7" spans="1:8" x14ac:dyDescent="0.2">
      <c r="A7" t="s">
        <v>112</v>
      </c>
      <c r="B7" s="4">
        <v>4606995</v>
      </c>
      <c r="C7" s="4">
        <v>625078</v>
      </c>
      <c r="D7" s="4">
        <f t="shared" si="0"/>
        <v>5232073</v>
      </c>
      <c r="E7" s="4">
        <f>-'Head Start'!B7 * 0.001</f>
        <v>-75176.441999999995</v>
      </c>
      <c r="F7" s="4">
        <f>-PreSchool!B7</f>
        <v>-111000</v>
      </c>
      <c r="G7" s="4">
        <f t="shared" si="1"/>
        <v>5045896.5580000002</v>
      </c>
    </row>
    <row r="8" spans="1:8" x14ac:dyDescent="0.2">
      <c r="A8" t="s">
        <v>113</v>
      </c>
      <c r="B8" s="4">
        <v>57975189</v>
      </c>
      <c r="C8" s="4">
        <v>6693286</v>
      </c>
      <c r="D8" s="4">
        <f t="shared" si="0"/>
        <v>64668475</v>
      </c>
      <c r="E8" s="4">
        <f>-'Head Start'!B8 * 0.001</f>
        <v>-957971.58499999996</v>
      </c>
      <c r="F8" s="4">
        <f>-PreSchool!B8</f>
        <v>-728223</v>
      </c>
      <c r="G8" s="4">
        <f t="shared" si="1"/>
        <v>62982280.414999999</v>
      </c>
    </row>
    <row r="9" spans="1:8" x14ac:dyDescent="0.2">
      <c r="A9" t="s">
        <v>115</v>
      </c>
      <c r="B9" s="4">
        <v>7341585</v>
      </c>
      <c r="C9" s="4">
        <v>706236</v>
      </c>
      <c r="D9" s="4">
        <f t="shared" si="0"/>
        <v>8047821</v>
      </c>
      <c r="E9" s="4">
        <f>-'Head Start'!B9 * 0.001</f>
        <v>-80798.717000000004</v>
      </c>
      <c r="F9" s="4">
        <f>-PreSchool!B9</f>
        <v>-37255</v>
      </c>
      <c r="G9" s="4">
        <f t="shared" si="1"/>
        <v>7929767.2829999998</v>
      </c>
    </row>
    <row r="10" spans="1:8" x14ac:dyDescent="0.2">
      <c r="A10" t="s">
        <v>114</v>
      </c>
      <c r="B10" s="4">
        <v>9344999</v>
      </c>
      <c r="C10" s="4">
        <v>680346</v>
      </c>
      <c r="D10" s="4">
        <f t="shared" si="0"/>
        <v>10025345</v>
      </c>
      <c r="E10" s="4">
        <f>-'Head Start'!B10 * 0.001</f>
        <v>-58755.648999999998</v>
      </c>
      <c r="F10" s="4">
        <f>-PreSchool!B10</f>
        <v>-75432</v>
      </c>
      <c r="G10" s="4">
        <f t="shared" si="1"/>
        <v>9891157.3509999998</v>
      </c>
    </row>
    <row r="11" spans="1:8" x14ac:dyDescent="0.2">
      <c r="A11" t="s">
        <v>42</v>
      </c>
      <c r="B11" s="4">
        <v>1751143</v>
      </c>
      <c r="C11" s="4">
        <v>160864</v>
      </c>
      <c r="D11" s="4">
        <f t="shared" si="0"/>
        <v>1912007</v>
      </c>
      <c r="E11" s="4">
        <f>-'Head Start'!B11 * 0.001</f>
        <v>-15341.871000000001</v>
      </c>
      <c r="F11" s="4">
        <f>-PreSchool!B11</f>
        <v>-5728</v>
      </c>
      <c r="G11" s="4">
        <f t="shared" si="1"/>
        <v>1890937.129</v>
      </c>
    </row>
    <row r="12" spans="1:8" x14ac:dyDescent="0.2">
      <c r="A12" t="s">
        <v>116</v>
      </c>
      <c r="B12" s="4">
        <v>22732752</v>
      </c>
      <c r="C12" s="4">
        <v>1837262</v>
      </c>
      <c r="D12" s="4">
        <f t="shared" si="0"/>
        <v>24570014</v>
      </c>
      <c r="E12" s="4">
        <f>-'Head Start'!B12 * 0.001</f>
        <v>-313310.85000000003</v>
      </c>
      <c r="F12" s="4">
        <f>-PreSchool!B12</f>
        <v>-399464</v>
      </c>
      <c r="G12" s="4">
        <f t="shared" ref="G12:G53" si="2">+D12+E12+F12</f>
        <v>23857239.149999999</v>
      </c>
    </row>
    <row r="13" spans="1:8" x14ac:dyDescent="0.2">
      <c r="A13" t="s">
        <v>117</v>
      </c>
      <c r="B13" s="4">
        <v>15623633</v>
      </c>
      <c r="C13" s="4">
        <v>1566185</v>
      </c>
      <c r="D13" s="4">
        <f t="shared" si="0"/>
        <v>17189818</v>
      </c>
      <c r="E13" s="4">
        <f>-'Head Start'!B13 * 0.001</f>
        <v>-198596.45199999999</v>
      </c>
      <c r="F13" s="4">
        <f>-PreSchool!B13</f>
        <v>-289223</v>
      </c>
      <c r="G13" s="4">
        <f t="shared" si="2"/>
        <v>16701998.548</v>
      </c>
    </row>
    <row r="14" spans="1:8" x14ac:dyDescent="0.2">
      <c r="A14" t="s">
        <v>118</v>
      </c>
      <c r="B14" s="4">
        <v>2187480</v>
      </c>
      <c r="C14" s="4">
        <v>124096</v>
      </c>
      <c r="D14" s="4">
        <f t="shared" si="0"/>
        <v>2311576</v>
      </c>
      <c r="E14" s="4">
        <f>-'Head Start'!B14 * 0.001</f>
        <v>-25594.284</v>
      </c>
      <c r="F14" s="4">
        <v>0</v>
      </c>
      <c r="G14" s="4">
        <f t="shared" si="2"/>
        <v>2285981.716</v>
      </c>
    </row>
    <row r="15" spans="1:8" x14ac:dyDescent="0.2">
      <c r="A15" t="s">
        <v>119</v>
      </c>
      <c r="B15" s="4">
        <v>1854556</v>
      </c>
      <c r="C15" s="4">
        <v>135343</v>
      </c>
      <c r="D15" s="4">
        <f t="shared" si="0"/>
        <v>1989899</v>
      </c>
      <c r="E15" s="4">
        <f>-'Head Start'!B15 * 0.001</f>
        <v>-27252.584999999999</v>
      </c>
      <c r="F15" s="4">
        <v>0</v>
      </c>
      <c r="G15" s="4">
        <f t="shared" si="2"/>
        <v>1962646.415</v>
      </c>
    </row>
    <row r="16" spans="1:8" x14ac:dyDescent="0.2">
      <c r="A16" t="s">
        <v>120</v>
      </c>
      <c r="B16" s="4">
        <v>25012915</v>
      </c>
      <c r="C16" s="4">
        <v>2169707</v>
      </c>
      <c r="D16" s="4">
        <f t="shared" si="0"/>
        <v>27182622</v>
      </c>
      <c r="E16" s="4">
        <f>-'Head Start'!B16 * 0.001</f>
        <v>-314325.49200000003</v>
      </c>
      <c r="F16" s="4">
        <f>-PreSchool!B16</f>
        <v>-259771</v>
      </c>
      <c r="G16" s="4">
        <f t="shared" si="2"/>
        <v>26608525.508000001</v>
      </c>
    </row>
    <row r="17" spans="1:7" x14ac:dyDescent="0.2">
      <c r="A17" t="s">
        <v>121</v>
      </c>
      <c r="B17" s="4">
        <v>9978491</v>
      </c>
      <c r="C17" s="4">
        <v>943637</v>
      </c>
      <c r="D17" s="4">
        <f t="shared" si="0"/>
        <v>10922128</v>
      </c>
      <c r="E17" s="4">
        <f>-'Head Start'!B17 * 0.001</f>
        <v>-115222.711</v>
      </c>
      <c r="F17" s="4">
        <v>0</v>
      </c>
      <c r="G17" s="4">
        <f t="shared" si="2"/>
        <v>10806905.289000001</v>
      </c>
    </row>
    <row r="18" spans="1:7" x14ac:dyDescent="0.2">
      <c r="A18" t="s">
        <v>122</v>
      </c>
      <c r="B18" s="4">
        <v>4971944</v>
      </c>
      <c r="C18" s="4">
        <v>905980</v>
      </c>
      <c r="D18" s="4">
        <f t="shared" si="0"/>
        <v>5877924</v>
      </c>
      <c r="E18" s="4">
        <f>-'Head Start'!B18 * 0.001</f>
        <v>-59267.964</v>
      </c>
      <c r="F18" s="4">
        <f>-PreSchool!B18</f>
        <v>-78490</v>
      </c>
      <c r="G18" s="4">
        <f t="shared" si="2"/>
        <v>5740166.0360000003</v>
      </c>
    </row>
    <row r="19" spans="1:7" x14ac:dyDescent="0.2">
      <c r="A19" t="s">
        <v>123</v>
      </c>
      <c r="B19" s="4">
        <v>4871381</v>
      </c>
      <c r="C19" s="4">
        <v>682546</v>
      </c>
      <c r="D19" s="4">
        <f t="shared" si="0"/>
        <v>5553927</v>
      </c>
      <c r="E19" s="4">
        <f>-'Head Start'!B19 * 0.001</f>
        <v>-59800.770000000004</v>
      </c>
      <c r="F19" s="4">
        <f>-PreSchool!B19</f>
        <v>-18243</v>
      </c>
      <c r="G19" s="4">
        <f t="shared" si="2"/>
        <v>5475883.2300000004</v>
      </c>
    </row>
    <row r="20" spans="1:7" x14ac:dyDescent="0.2">
      <c r="A20" t="s">
        <v>124</v>
      </c>
      <c r="B20" s="4">
        <v>6360799</v>
      </c>
      <c r="C20" s="4">
        <v>770827</v>
      </c>
      <c r="D20" s="4">
        <f t="shared" si="0"/>
        <v>7131626</v>
      </c>
      <c r="E20" s="4">
        <f>-'Head Start'!B20 * 0.001</f>
        <v>-125050.97200000001</v>
      </c>
      <c r="F20" s="4">
        <f>-PreSchool!B20</f>
        <v>-74765</v>
      </c>
      <c r="G20" s="4">
        <f t="shared" si="2"/>
        <v>6931810.0279999999</v>
      </c>
    </row>
    <row r="21" spans="1:7" x14ac:dyDescent="0.2">
      <c r="A21" t="s">
        <v>125</v>
      </c>
      <c r="B21" s="4">
        <v>7544782</v>
      </c>
      <c r="C21" s="4">
        <v>744610</v>
      </c>
      <c r="D21" s="4">
        <f t="shared" si="0"/>
        <v>8289392</v>
      </c>
      <c r="E21" s="4">
        <f>-'Head Start'!B21 * 0.001</f>
        <v>-167980.83499999999</v>
      </c>
      <c r="F21" s="4">
        <f>-PreSchool!B21</f>
        <v>-91066</v>
      </c>
      <c r="G21" s="4">
        <f t="shared" si="2"/>
        <v>8030345.165</v>
      </c>
    </row>
    <row r="22" spans="1:7" x14ac:dyDescent="0.2">
      <c r="A22" t="s">
        <v>0</v>
      </c>
      <c r="B22" s="4">
        <v>2330842</v>
      </c>
      <c r="C22" s="4">
        <v>121421</v>
      </c>
      <c r="D22" s="4">
        <f t="shared" si="0"/>
        <v>2452263</v>
      </c>
      <c r="E22" s="4">
        <f>-'Head Start'!B22 * 0.001</f>
        <v>-31534.388999999999</v>
      </c>
      <c r="F22" s="4">
        <f>-PreSchool!B22</f>
        <v>-10587</v>
      </c>
      <c r="G22" s="4">
        <f t="shared" si="2"/>
        <v>2410141.611</v>
      </c>
    </row>
    <row r="23" spans="1:7" x14ac:dyDescent="0.2">
      <c r="A23" t="s">
        <v>1</v>
      </c>
      <c r="B23" s="4">
        <v>11846681</v>
      </c>
      <c r="C23" s="4">
        <v>1166856</v>
      </c>
      <c r="D23" s="4">
        <f t="shared" si="0"/>
        <v>13013537</v>
      </c>
      <c r="E23" s="4">
        <f>-'Head Start'!B23 * 0.001</f>
        <v>-86394.017000000007</v>
      </c>
      <c r="F23" s="4">
        <f>-PreSchool!B23</f>
        <v>-103262</v>
      </c>
      <c r="G23" s="4">
        <f t="shared" si="2"/>
        <v>12823880.982999999</v>
      </c>
    </row>
    <row r="24" spans="1:7" x14ac:dyDescent="0.2">
      <c r="A24" t="s">
        <v>2</v>
      </c>
      <c r="B24" s="4">
        <v>14151659</v>
      </c>
      <c r="C24" s="4">
        <v>1117722</v>
      </c>
      <c r="D24" s="4">
        <f t="shared" si="0"/>
        <v>15269381</v>
      </c>
      <c r="E24" s="4">
        <f>-'Head Start'!B24 * 0.001</f>
        <v>-122724.674</v>
      </c>
      <c r="F24" s="4">
        <f>-PreSchool!B24</f>
        <v>-53840</v>
      </c>
      <c r="G24" s="4">
        <f t="shared" si="2"/>
        <v>15092816.325999999</v>
      </c>
    </row>
    <row r="25" spans="1:7" x14ac:dyDescent="0.2">
      <c r="A25" t="s">
        <v>3</v>
      </c>
      <c r="B25" s="4">
        <v>16485178</v>
      </c>
      <c r="C25" s="4">
        <v>1376616</v>
      </c>
      <c r="D25" s="4">
        <f t="shared" si="0"/>
        <v>17861794</v>
      </c>
      <c r="E25" s="4">
        <f>-'Head Start'!B25 * 0.001</f>
        <v>-267668.99200000003</v>
      </c>
      <c r="F25" s="4">
        <f>-PreSchool!B25</f>
        <v>-104275</v>
      </c>
      <c r="G25" s="4">
        <f t="shared" si="2"/>
        <v>17489850.008000001</v>
      </c>
    </row>
    <row r="26" spans="1:7" x14ac:dyDescent="0.2">
      <c r="A26" t="s">
        <v>4</v>
      </c>
      <c r="B26" s="4">
        <v>9053021</v>
      </c>
      <c r="C26" s="4">
        <v>1069044</v>
      </c>
      <c r="D26" s="4">
        <f t="shared" si="0"/>
        <v>10122065</v>
      </c>
      <c r="E26" s="4">
        <f>-'Head Start'!B26 * 0.001</f>
        <v>-83787.316000000006</v>
      </c>
      <c r="F26" s="4">
        <f>-PreSchool!B26</f>
        <v>-13764</v>
      </c>
      <c r="G26" s="4">
        <f t="shared" si="2"/>
        <v>10024513.684</v>
      </c>
    </row>
    <row r="27" spans="1:7" x14ac:dyDescent="0.2">
      <c r="A27" t="s">
        <v>5</v>
      </c>
      <c r="B27" s="4">
        <v>3972787</v>
      </c>
      <c r="C27" s="4">
        <v>270440</v>
      </c>
      <c r="D27" s="4">
        <f t="shared" si="0"/>
        <v>4243227</v>
      </c>
      <c r="E27" s="4">
        <f>-'Head Start'!B27 * 0.001</f>
        <v>-180315.94400000002</v>
      </c>
      <c r="F27" s="4">
        <v>0</v>
      </c>
      <c r="G27" s="4">
        <f t="shared" si="2"/>
        <v>4062911.0559999999</v>
      </c>
    </row>
    <row r="28" spans="1:7" x14ac:dyDescent="0.2">
      <c r="A28" t="s">
        <v>6</v>
      </c>
      <c r="B28" s="4">
        <v>8719925</v>
      </c>
      <c r="C28" s="4">
        <v>894459</v>
      </c>
      <c r="D28" s="4">
        <f t="shared" si="0"/>
        <v>9614384</v>
      </c>
      <c r="E28" s="4">
        <f>-'Head Start'!B28 * 0.001</f>
        <v>-138965.174</v>
      </c>
      <c r="F28" s="4">
        <f>-PreSchool!B28</f>
        <v>-11005</v>
      </c>
      <c r="G28" s="4">
        <f t="shared" si="2"/>
        <v>9464413.8259999994</v>
      </c>
    </row>
    <row r="29" spans="1:7" x14ac:dyDescent="0.2">
      <c r="A29" t="s">
        <v>7</v>
      </c>
      <c r="B29" s="4">
        <v>1504531</v>
      </c>
      <c r="C29" s="4">
        <v>120771</v>
      </c>
      <c r="D29" s="4">
        <f t="shared" si="0"/>
        <v>1625302</v>
      </c>
      <c r="E29" s="4">
        <f>-'Head Start'!B29 * 0.001</f>
        <v>-23985.541000000001</v>
      </c>
      <c r="F29" s="4">
        <v>0</v>
      </c>
      <c r="G29" s="4">
        <f t="shared" si="2"/>
        <v>1601316.459</v>
      </c>
    </row>
    <row r="30" spans="1:7" x14ac:dyDescent="0.2">
      <c r="A30" t="s">
        <v>8</v>
      </c>
      <c r="B30" s="4">
        <v>3356734</v>
      </c>
      <c r="C30" s="4">
        <v>348343</v>
      </c>
      <c r="D30" s="4">
        <f t="shared" si="0"/>
        <v>3705077</v>
      </c>
      <c r="E30" s="4">
        <f>-'Head Start'!B30 * 0.001</f>
        <v>-72187.835999999996</v>
      </c>
      <c r="F30" s="4">
        <f>-PreSchool!B30</f>
        <v>-9629</v>
      </c>
      <c r="G30" s="4">
        <f t="shared" si="2"/>
        <v>3623260.1639999999</v>
      </c>
    </row>
    <row r="31" spans="1:7" x14ac:dyDescent="0.2">
      <c r="A31" t="s">
        <v>92</v>
      </c>
      <c r="B31" s="4">
        <v>3574233</v>
      </c>
      <c r="C31" s="4">
        <v>327173</v>
      </c>
      <c r="D31" s="4">
        <f t="shared" si="0"/>
        <v>3901406</v>
      </c>
      <c r="E31" s="4">
        <f>-'Head Start'!B31 * 0.001</f>
        <v>-29960.223000000002</v>
      </c>
      <c r="F31" s="4">
        <f>-PreSchool!B31</f>
        <v>-3339</v>
      </c>
      <c r="G31" s="4">
        <f t="shared" si="2"/>
        <v>3868106.7769999998</v>
      </c>
    </row>
    <row r="32" spans="1:7" x14ac:dyDescent="0.2">
      <c r="A32" t="s">
        <v>9</v>
      </c>
      <c r="B32" s="4">
        <v>2643256</v>
      </c>
      <c r="C32" s="4">
        <v>159998</v>
      </c>
      <c r="D32" s="4">
        <f t="shared" si="0"/>
        <v>2803254</v>
      </c>
      <c r="E32" s="4">
        <f>-'Head Start'!B32 * 0.001</f>
        <v>-15540.919</v>
      </c>
      <c r="F32" s="4">
        <v>0</v>
      </c>
      <c r="G32" s="4">
        <f t="shared" si="2"/>
        <v>2787713.0809999998</v>
      </c>
    </row>
    <row r="33" spans="1:7" x14ac:dyDescent="0.2">
      <c r="A33" t="s">
        <v>10</v>
      </c>
      <c r="B33" s="4">
        <v>24391278</v>
      </c>
      <c r="C33" s="4">
        <v>912022</v>
      </c>
      <c r="D33" s="4">
        <f t="shared" si="0"/>
        <v>25303300</v>
      </c>
      <c r="E33" s="4">
        <f>-'Head Start'!B33 * 0.001</f>
        <v>-149580.13099999999</v>
      </c>
      <c r="F33" s="4">
        <f>-PreSchool!B33</f>
        <v>-600894</v>
      </c>
      <c r="G33" s="4">
        <f t="shared" si="2"/>
        <v>24552825.868999999</v>
      </c>
    </row>
    <row r="34" spans="1:7" x14ac:dyDescent="0.2">
      <c r="A34" t="s">
        <v>11</v>
      </c>
      <c r="B34" s="4">
        <v>3039423</v>
      </c>
      <c r="C34" s="4">
        <v>516030</v>
      </c>
      <c r="D34" s="4">
        <f t="shared" si="0"/>
        <v>3555453</v>
      </c>
      <c r="E34" s="4">
        <f>-'Head Start'!B34 * 0.001</f>
        <v>-62550.656000000003</v>
      </c>
      <c r="F34" s="4">
        <f>-PreSchool!B34</f>
        <v>-14514</v>
      </c>
      <c r="G34" s="4">
        <f t="shared" si="2"/>
        <v>3478388.344</v>
      </c>
    </row>
    <row r="35" spans="1:7" x14ac:dyDescent="0.2">
      <c r="A35" t="s">
        <v>12</v>
      </c>
      <c r="B35" s="4">
        <v>52460494</v>
      </c>
      <c r="C35" s="4">
        <v>2097414</v>
      </c>
      <c r="D35" s="4">
        <f t="shared" si="0"/>
        <v>54557908</v>
      </c>
      <c r="E35" s="4">
        <f>-'Head Start'!B35 * 0.001</f>
        <v>-493984.02600000001</v>
      </c>
      <c r="F35" s="4">
        <f>-PreSchool!B35</f>
        <v>-380170</v>
      </c>
      <c r="G35" s="4">
        <f t="shared" si="2"/>
        <v>53683753.973999999</v>
      </c>
    </row>
    <row r="36" spans="1:7" x14ac:dyDescent="0.2">
      <c r="A36" t="s">
        <v>13</v>
      </c>
      <c r="B36" s="4">
        <v>12303426</v>
      </c>
      <c r="C36" s="4">
        <v>683545</v>
      </c>
      <c r="D36" s="4">
        <f t="shared" si="0"/>
        <v>12986971</v>
      </c>
      <c r="E36" s="4">
        <f>-'Head Start'!B36 * 0.001</f>
        <v>-171736.149</v>
      </c>
      <c r="F36" s="4">
        <f>-PreSchool!B36</f>
        <v>-128147</v>
      </c>
      <c r="G36" s="4">
        <f t="shared" si="2"/>
        <v>12687087.851</v>
      </c>
    </row>
    <row r="37" spans="1:7" x14ac:dyDescent="0.2">
      <c r="A37" t="s">
        <v>14</v>
      </c>
      <c r="B37" s="4">
        <v>1098090</v>
      </c>
      <c r="C37" s="4">
        <v>160058</v>
      </c>
      <c r="D37" s="4">
        <f t="shared" si="0"/>
        <v>1258148</v>
      </c>
      <c r="E37" s="4">
        <f>-'Head Start'!B37 * 0.001</f>
        <v>-20059.789000000001</v>
      </c>
      <c r="F37" s="4">
        <v>0</v>
      </c>
      <c r="G37" s="4">
        <f t="shared" si="2"/>
        <v>1238088.2109999999</v>
      </c>
    </row>
    <row r="38" spans="1:7" x14ac:dyDescent="0.2">
      <c r="A38" t="s">
        <v>15</v>
      </c>
      <c r="B38" s="4">
        <v>19701810</v>
      </c>
      <c r="C38" s="4">
        <v>2467639</v>
      </c>
      <c r="D38" s="4">
        <f t="shared" si="0"/>
        <v>22169449</v>
      </c>
      <c r="E38" s="4">
        <f>-'Head Start'!B38 * 0.001</f>
        <v>-286668.88</v>
      </c>
      <c r="F38" s="4">
        <f>-PreSchool!B38</f>
        <v>-22688</v>
      </c>
      <c r="G38" s="4">
        <f t="shared" si="2"/>
        <v>21860092.120000001</v>
      </c>
    </row>
    <row r="39" spans="1:7" x14ac:dyDescent="0.2">
      <c r="A39" t="s">
        <v>16</v>
      </c>
      <c r="B39" s="4">
        <v>5170978</v>
      </c>
      <c r="C39" s="4">
        <v>496205</v>
      </c>
      <c r="D39" s="4">
        <f t="shared" si="0"/>
        <v>5667183</v>
      </c>
      <c r="E39" s="4">
        <f>-'Head Start'!B39 * 0.001</f>
        <v>-97666.553</v>
      </c>
      <c r="F39" s="4">
        <f>-PreSchool!B39</f>
        <v>-146407</v>
      </c>
      <c r="G39" s="4">
        <f t="shared" si="2"/>
        <v>5423109.4469999997</v>
      </c>
    </row>
    <row r="40" spans="1:7" x14ac:dyDescent="0.2">
      <c r="A40" t="s">
        <v>17</v>
      </c>
      <c r="B40" s="4">
        <v>5389273</v>
      </c>
      <c r="C40" s="4">
        <v>448212</v>
      </c>
      <c r="D40" s="4">
        <f t="shared" si="0"/>
        <v>5837485</v>
      </c>
      <c r="E40" s="4">
        <f>-'Head Start'!B40 * 0.001</f>
        <v>-70304.7</v>
      </c>
      <c r="F40" s="4">
        <f>-PreSchool!B40</f>
        <v>-61000</v>
      </c>
      <c r="G40" s="4">
        <f t="shared" si="2"/>
        <v>5706180.2999999998</v>
      </c>
    </row>
    <row r="41" spans="1:7" x14ac:dyDescent="0.2">
      <c r="A41" t="s">
        <v>18</v>
      </c>
      <c r="B41" s="4">
        <v>23190198</v>
      </c>
      <c r="C41" s="4">
        <v>1822156</v>
      </c>
      <c r="D41" s="4">
        <f t="shared" si="0"/>
        <v>25012354</v>
      </c>
      <c r="E41" s="4">
        <f>-'Head Start'!B41 * 0.001</f>
        <v>-261801.9</v>
      </c>
      <c r="F41" s="4">
        <f>-PreSchool!B41</f>
        <v>-157592</v>
      </c>
      <c r="G41" s="4">
        <f t="shared" si="2"/>
        <v>24592960.100000001</v>
      </c>
    </row>
    <row r="42" spans="1:7" x14ac:dyDescent="0.2">
      <c r="A42" t="s">
        <v>19</v>
      </c>
      <c r="B42" s="4">
        <v>2167450</v>
      </c>
      <c r="C42" s="4">
        <v>36926</v>
      </c>
      <c r="D42" s="4">
        <f t="shared" si="0"/>
        <v>2204376</v>
      </c>
      <c r="E42" s="4">
        <f>-'Head Start'!B42 * 0.001</f>
        <v>-25043.856</v>
      </c>
      <c r="F42" s="4">
        <f>-PreSchool!B42</f>
        <v>-358</v>
      </c>
      <c r="G42" s="4">
        <f t="shared" si="2"/>
        <v>2178974.1439999999</v>
      </c>
    </row>
    <row r="43" spans="1:7" x14ac:dyDescent="0.2">
      <c r="A43" t="s">
        <v>20</v>
      </c>
      <c r="B43" s="4">
        <v>6600733</v>
      </c>
      <c r="C43" s="4">
        <v>889986</v>
      </c>
      <c r="D43" s="4">
        <f t="shared" si="0"/>
        <v>7490719</v>
      </c>
      <c r="E43" s="4">
        <f>-'Head Start'!B43 * 0.001</f>
        <v>-99208.187000000005</v>
      </c>
      <c r="F43" s="4">
        <f>-PreSchool!B43</f>
        <v>-35709</v>
      </c>
      <c r="G43" s="4">
        <f t="shared" si="2"/>
        <v>7355801.8130000001</v>
      </c>
    </row>
    <row r="44" spans="1:7" x14ac:dyDescent="0.2">
      <c r="A44" t="s">
        <v>21</v>
      </c>
      <c r="B44" s="4">
        <v>1100100</v>
      </c>
      <c r="C44" s="4">
        <v>172738</v>
      </c>
      <c r="D44" s="4">
        <f t="shared" si="0"/>
        <v>1272838</v>
      </c>
      <c r="E44" s="4">
        <f>-'Head Start'!B44 * 0.001</f>
        <v>-21605.345000000001</v>
      </c>
      <c r="F44" s="4">
        <v>0</v>
      </c>
      <c r="G44" s="4">
        <f t="shared" si="2"/>
        <v>1251232.655</v>
      </c>
    </row>
    <row r="45" spans="1:7" x14ac:dyDescent="0.2">
      <c r="A45" t="s">
        <v>22</v>
      </c>
      <c r="B45" s="4">
        <v>8351056</v>
      </c>
      <c r="C45" s="4">
        <v>664129</v>
      </c>
      <c r="D45" s="4">
        <f t="shared" si="0"/>
        <v>9015185</v>
      </c>
      <c r="E45" s="4">
        <f>-'Head Start'!B45 * 0.001</f>
        <v>-137123.14499999999</v>
      </c>
      <c r="F45" s="4">
        <f>-PreSchool!B45</f>
        <v>-84255</v>
      </c>
      <c r="G45" s="4">
        <f t="shared" si="2"/>
        <v>8793806.8550000004</v>
      </c>
    </row>
    <row r="46" spans="1:7" x14ac:dyDescent="0.2">
      <c r="A46" t="s">
        <v>23</v>
      </c>
      <c r="B46" s="4">
        <v>41067619</v>
      </c>
      <c r="C46" s="4">
        <v>5536572</v>
      </c>
      <c r="D46" s="4">
        <f t="shared" si="0"/>
        <v>46604191</v>
      </c>
      <c r="E46" s="4">
        <f>-'Head Start'!B46 * 0.001</f>
        <v>-559620.98699999996</v>
      </c>
      <c r="F46" s="4">
        <f>-PreSchool!B46</f>
        <v>-727213</v>
      </c>
      <c r="G46" s="4">
        <f t="shared" si="2"/>
        <v>45317357.012999997</v>
      </c>
    </row>
    <row r="47" spans="1:7" x14ac:dyDescent="0.2">
      <c r="A47" t="s">
        <v>24</v>
      </c>
      <c r="B47" s="4">
        <v>3779760</v>
      </c>
      <c r="C47" s="4">
        <v>746262</v>
      </c>
      <c r="D47" s="4">
        <f t="shared" si="0"/>
        <v>4526022</v>
      </c>
      <c r="E47" s="4">
        <f>-'Head Start'!B47 * 0.001</f>
        <v>-45113.078000000001</v>
      </c>
      <c r="F47" s="4">
        <v>0</v>
      </c>
      <c r="G47" s="4">
        <f t="shared" si="2"/>
        <v>4480908.9220000003</v>
      </c>
    </row>
    <row r="48" spans="1:7" x14ac:dyDescent="0.2">
      <c r="A48" t="s">
        <v>25</v>
      </c>
      <c r="B48" s="4">
        <v>1497093</v>
      </c>
      <c r="C48" s="4">
        <v>46009</v>
      </c>
      <c r="D48" s="4">
        <f t="shared" si="0"/>
        <v>1543102</v>
      </c>
      <c r="E48" s="4">
        <f>-'Head Start'!B48 * 0.001</f>
        <v>-15143.423000000001</v>
      </c>
      <c r="F48" s="4">
        <f>-PreSchool!B48</f>
        <v>-20374</v>
      </c>
      <c r="G48" s="4">
        <f t="shared" si="2"/>
        <v>1507584.577</v>
      </c>
    </row>
    <row r="49" spans="1:7" x14ac:dyDescent="0.2">
      <c r="A49" t="s">
        <v>26</v>
      </c>
      <c r="B49" s="4">
        <v>13403576</v>
      </c>
      <c r="C49" s="4">
        <v>1078786</v>
      </c>
      <c r="D49" s="4">
        <f t="shared" si="0"/>
        <v>14482362</v>
      </c>
      <c r="E49" s="4">
        <f>-'Head Start'!B49 * 0.001</f>
        <v>-115286.747</v>
      </c>
      <c r="F49" s="4">
        <f>-PreSchool!B49</f>
        <v>-62780</v>
      </c>
      <c r="G49" s="4">
        <f t="shared" si="2"/>
        <v>14304295.253</v>
      </c>
    </row>
    <row r="50" spans="1:7" x14ac:dyDescent="0.2">
      <c r="A50" t="s">
        <v>27</v>
      </c>
      <c r="B50" s="4">
        <v>10054077</v>
      </c>
      <c r="C50" s="4">
        <v>1545989</v>
      </c>
      <c r="D50" s="4">
        <f t="shared" si="0"/>
        <v>11600066</v>
      </c>
      <c r="E50" s="4">
        <f>-'Head Start'!B50 * 0.001</f>
        <v>-117458.766</v>
      </c>
      <c r="F50" s="4">
        <f>-PreSchool!B50</f>
        <v>-57056</v>
      </c>
      <c r="G50" s="4">
        <f t="shared" si="2"/>
        <v>11425551.233999999</v>
      </c>
    </row>
    <row r="51" spans="1:7" x14ac:dyDescent="0.2">
      <c r="A51" t="s">
        <v>28</v>
      </c>
      <c r="B51" s="4">
        <v>3275246</v>
      </c>
      <c r="C51" s="4">
        <v>69611</v>
      </c>
      <c r="D51" s="4">
        <f t="shared" si="0"/>
        <v>3344857</v>
      </c>
      <c r="E51" s="4">
        <f>-'Head Start'!B51 * 0.001</f>
        <v>-58201.03</v>
      </c>
      <c r="F51" s="4">
        <f>-PreSchool!B51</f>
        <v>-91644</v>
      </c>
      <c r="G51" s="4">
        <f t="shared" si="2"/>
        <v>3195011.97</v>
      </c>
    </row>
    <row r="52" spans="1:7" x14ac:dyDescent="0.2">
      <c r="A52" t="s">
        <v>29</v>
      </c>
      <c r="B52" s="4">
        <v>9704932</v>
      </c>
      <c r="C52" s="4">
        <v>450303</v>
      </c>
      <c r="D52" s="4">
        <f t="shared" si="0"/>
        <v>10155235</v>
      </c>
      <c r="E52" s="4">
        <f>-'Head Start'!B52 * 0.001</f>
        <v>-105184.25</v>
      </c>
      <c r="F52" s="4">
        <f>-PreSchool!B52</f>
        <v>-153864</v>
      </c>
      <c r="G52" s="4">
        <f t="shared" si="2"/>
        <v>9896186.75</v>
      </c>
    </row>
    <row r="53" spans="1:7" x14ac:dyDescent="0.2">
      <c r="A53" t="s">
        <v>30</v>
      </c>
      <c r="B53" s="4">
        <v>1432216</v>
      </c>
      <c r="C53" s="4">
        <v>213240</v>
      </c>
      <c r="D53" s="4">
        <f t="shared" si="0"/>
        <v>1645456</v>
      </c>
      <c r="E53" s="4">
        <f>-'Head Start'!B53 * 0.001</f>
        <v>-13438.273000000001</v>
      </c>
      <c r="F53" s="4">
        <v>0</v>
      </c>
      <c r="G53" s="4">
        <f t="shared" si="2"/>
        <v>1632017.727</v>
      </c>
    </row>
    <row r="55" spans="1:7" x14ac:dyDescent="0.2">
      <c r="A55" t="s">
        <v>34</v>
      </c>
      <c r="B55" s="4">
        <f>SUM(B4:B53)</f>
        <v>525629586</v>
      </c>
      <c r="C55" s="4">
        <f>SUM(C4:C53)</f>
        <v>48422441</v>
      </c>
      <c r="D55" s="4">
        <f>SUM(D4:D53)</f>
        <v>574052027</v>
      </c>
      <c r="E55" s="4">
        <f t="shared" ref="E55:G55" si="3">SUM(E4:E53)</f>
        <v>-6836130.319000002</v>
      </c>
      <c r="F55" s="4">
        <f t="shared" si="3"/>
        <v>-5253037</v>
      </c>
      <c r="G55" s="4">
        <f t="shared" si="3"/>
        <v>561962859.68100011</v>
      </c>
    </row>
  </sheetData>
  <phoneticPr fontId="8" type="noConversion"/>
  <pageMargins left="0.7" right="0.7" top="0.75" bottom="0.75" header="0.3" footer="0.3"/>
  <ignoredErrors>
    <ignoredError sqref="B55:C55"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tabColor rgb="FF00B0F0"/>
  </sheetPr>
  <dimension ref="A1:B55"/>
  <sheetViews>
    <sheetView workbookViewId="0">
      <selection activeCell="A5" sqref="A5"/>
    </sheetView>
  </sheetViews>
  <sheetFormatPr baseColWidth="10" defaultColWidth="8.83203125" defaultRowHeight="15" x14ac:dyDescent="0.2"/>
  <cols>
    <col min="1" max="1" width="18.33203125" customWidth="1"/>
    <col min="2" max="2" width="22.6640625" style="4" customWidth="1"/>
  </cols>
  <sheetData>
    <row r="1" spans="1:2" x14ac:dyDescent="0.2">
      <c r="A1" s="1" t="s">
        <v>38</v>
      </c>
    </row>
    <row r="2" spans="1:2" x14ac:dyDescent="0.2">
      <c r="A2" s="2" t="s">
        <v>31</v>
      </c>
      <c r="B2" s="4" t="s">
        <v>292</v>
      </c>
    </row>
    <row r="3" spans="1:2" x14ac:dyDescent="0.2">
      <c r="A3" s="3"/>
    </row>
    <row r="4" spans="1:2" x14ac:dyDescent="0.2">
      <c r="A4" t="s">
        <v>150</v>
      </c>
      <c r="B4" s="4">
        <v>0</v>
      </c>
    </row>
    <row r="5" spans="1:2" x14ac:dyDescent="0.2">
      <c r="A5" t="s">
        <v>151</v>
      </c>
      <c r="B5" s="4">
        <v>9204</v>
      </c>
    </row>
    <row r="6" spans="1:2" x14ac:dyDescent="0.2">
      <c r="A6" t="s">
        <v>152</v>
      </c>
      <c r="B6" s="4">
        <v>0</v>
      </c>
    </row>
    <row r="7" spans="1:2" x14ac:dyDescent="0.2">
      <c r="A7" t="s">
        <v>153</v>
      </c>
      <c r="B7" s="4">
        <v>3970</v>
      </c>
    </row>
    <row r="8" spans="1:2" x14ac:dyDescent="0.2">
      <c r="A8" t="s">
        <v>154</v>
      </c>
      <c r="B8" s="4">
        <v>930000</v>
      </c>
    </row>
    <row r="9" spans="1:2" x14ac:dyDescent="0.2">
      <c r="A9" t="s">
        <v>155</v>
      </c>
      <c r="B9" s="4">
        <v>28230</v>
      </c>
    </row>
    <row r="10" spans="1:2" x14ac:dyDescent="0.2">
      <c r="A10" t="s">
        <v>156</v>
      </c>
      <c r="B10" s="4">
        <v>42992</v>
      </c>
    </row>
    <row r="11" spans="1:2" x14ac:dyDescent="0.2">
      <c r="A11" t="s">
        <v>157</v>
      </c>
      <c r="B11" s="4">
        <v>5530</v>
      </c>
    </row>
    <row r="12" spans="1:2" x14ac:dyDescent="0.2">
      <c r="A12" t="s">
        <v>158</v>
      </c>
      <c r="B12" s="4">
        <v>39887</v>
      </c>
    </row>
    <row r="13" spans="1:2" x14ac:dyDescent="0.2">
      <c r="A13" t="s">
        <v>159</v>
      </c>
      <c r="B13" s="4">
        <v>23752</v>
      </c>
    </row>
    <row r="14" spans="1:2" x14ac:dyDescent="0.2">
      <c r="A14" t="s">
        <v>160</v>
      </c>
      <c r="B14" s="4">
        <v>17132</v>
      </c>
    </row>
    <row r="15" spans="1:2" x14ac:dyDescent="0.2">
      <c r="A15" t="s">
        <v>161</v>
      </c>
      <c r="B15" s="4">
        <v>2395</v>
      </c>
    </row>
    <row r="16" spans="1:2" x14ac:dyDescent="0.2">
      <c r="A16" t="s">
        <v>162</v>
      </c>
      <c r="B16" s="4">
        <v>92300</v>
      </c>
    </row>
    <row r="17" spans="1:2" x14ac:dyDescent="0.2">
      <c r="A17" t="s">
        <v>163</v>
      </c>
      <c r="B17" s="4">
        <v>14700</v>
      </c>
    </row>
    <row r="18" spans="1:2" x14ac:dyDescent="0.2">
      <c r="A18" t="s">
        <v>164</v>
      </c>
      <c r="B18" s="4">
        <v>5725</v>
      </c>
    </row>
    <row r="19" spans="1:2" x14ac:dyDescent="0.2">
      <c r="A19" t="s">
        <v>165</v>
      </c>
      <c r="B19" s="4">
        <v>21086</v>
      </c>
    </row>
    <row r="20" spans="1:2" x14ac:dyDescent="0.2">
      <c r="A20" t="s">
        <v>166</v>
      </c>
      <c r="B20" s="4">
        <v>20400</v>
      </c>
    </row>
    <row r="21" spans="1:2" x14ac:dyDescent="0.2">
      <c r="A21" t="s">
        <v>167</v>
      </c>
      <c r="B21" s="4">
        <v>14022</v>
      </c>
    </row>
    <row r="22" spans="1:2" x14ac:dyDescent="0.2">
      <c r="A22" t="s">
        <v>168</v>
      </c>
      <c r="B22" s="4">
        <v>0</v>
      </c>
    </row>
    <row r="23" spans="1:2" x14ac:dyDescent="0.2">
      <c r="A23" t="s">
        <v>169</v>
      </c>
      <c r="B23" s="4">
        <v>67002</v>
      </c>
    </row>
    <row r="24" spans="1:2" x14ac:dyDescent="0.2">
      <c r="A24" t="s">
        <v>170</v>
      </c>
      <c r="B24" s="4">
        <v>38500</v>
      </c>
    </row>
    <row r="25" spans="1:2" x14ac:dyDescent="0.2">
      <c r="A25" t="s">
        <v>171</v>
      </c>
      <c r="B25" s="4">
        <v>50976</v>
      </c>
    </row>
    <row r="26" spans="1:2" x14ac:dyDescent="0.2">
      <c r="A26" t="s">
        <v>179</v>
      </c>
      <c r="B26" s="75">
        <v>0</v>
      </c>
    </row>
    <row r="27" spans="1:2" x14ac:dyDescent="0.2">
      <c r="A27" t="s">
        <v>180</v>
      </c>
      <c r="B27" s="4">
        <v>4389</v>
      </c>
    </row>
    <row r="28" spans="1:2" x14ac:dyDescent="0.2">
      <c r="A28" t="s">
        <v>181</v>
      </c>
      <c r="B28" s="4">
        <v>27600</v>
      </c>
    </row>
    <row r="29" spans="1:2" x14ac:dyDescent="0.2">
      <c r="A29" t="s">
        <v>182</v>
      </c>
      <c r="B29" s="4">
        <v>0</v>
      </c>
    </row>
    <row r="30" spans="1:2" x14ac:dyDescent="0.2">
      <c r="A30" t="s">
        <v>183</v>
      </c>
      <c r="B30" s="4">
        <v>0</v>
      </c>
    </row>
    <row r="31" spans="1:2" x14ac:dyDescent="0.2">
      <c r="A31" t="s">
        <v>184</v>
      </c>
      <c r="B31" s="4">
        <v>44862</v>
      </c>
    </row>
    <row r="32" spans="1:2" x14ac:dyDescent="0.2">
      <c r="A32" t="s">
        <v>185</v>
      </c>
      <c r="B32" s="4">
        <v>2153</v>
      </c>
    </row>
    <row r="33" spans="1:2" x14ac:dyDescent="0.2">
      <c r="A33" t="s">
        <v>186</v>
      </c>
      <c r="B33" s="4">
        <v>98991</v>
      </c>
    </row>
    <row r="34" spans="1:2" x14ac:dyDescent="0.2">
      <c r="A34" t="s">
        <v>187</v>
      </c>
      <c r="B34" s="4">
        <v>19210</v>
      </c>
    </row>
    <row r="35" spans="1:2" x14ac:dyDescent="0.2">
      <c r="A35" t="s">
        <v>188</v>
      </c>
      <c r="B35" s="4">
        <v>424000</v>
      </c>
    </row>
    <row r="36" spans="1:2" x14ac:dyDescent="0.2">
      <c r="A36" t="s">
        <v>189</v>
      </c>
      <c r="B36" s="4">
        <v>48590</v>
      </c>
    </row>
    <row r="37" spans="1:2" x14ac:dyDescent="0.2">
      <c r="A37" t="s">
        <v>190</v>
      </c>
      <c r="B37" s="4">
        <v>21200</v>
      </c>
    </row>
    <row r="38" spans="1:2" x14ac:dyDescent="0.2">
      <c r="A38" t="s">
        <v>191</v>
      </c>
      <c r="B38" s="4">
        <v>113400</v>
      </c>
    </row>
    <row r="39" spans="1:2" x14ac:dyDescent="0.2">
      <c r="A39" t="s">
        <v>192</v>
      </c>
      <c r="B39" s="4">
        <v>10885</v>
      </c>
    </row>
    <row r="40" spans="1:2" x14ac:dyDescent="0.2">
      <c r="A40" t="s">
        <v>193</v>
      </c>
      <c r="B40" s="4">
        <v>0</v>
      </c>
    </row>
    <row r="41" spans="1:2" x14ac:dyDescent="0.2">
      <c r="A41" t="s">
        <v>194</v>
      </c>
      <c r="B41" s="4">
        <v>103352</v>
      </c>
    </row>
    <row r="42" spans="1:2" x14ac:dyDescent="0.2">
      <c r="A42" t="s">
        <v>195</v>
      </c>
      <c r="B42" s="4">
        <v>9651</v>
      </c>
    </row>
    <row r="43" spans="1:2" x14ac:dyDescent="0.2">
      <c r="A43" t="s">
        <v>196</v>
      </c>
      <c r="B43" s="4">
        <v>0</v>
      </c>
    </row>
    <row r="44" spans="1:2" x14ac:dyDescent="0.2">
      <c r="A44" t="s">
        <v>197</v>
      </c>
      <c r="B44" s="4">
        <v>3660</v>
      </c>
    </row>
    <row r="45" spans="1:2" x14ac:dyDescent="0.2">
      <c r="A45" t="s">
        <v>198</v>
      </c>
      <c r="B45" s="4">
        <v>15600</v>
      </c>
    </row>
    <row r="46" spans="1:2" x14ac:dyDescent="0.2">
      <c r="A46" t="s">
        <v>199</v>
      </c>
      <c r="B46" s="4">
        <v>75605</v>
      </c>
    </row>
    <row r="47" spans="1:2" x14ac:dyDescent="0.2">
      <c r="A47" t="s">
        <v>200</v>
      </c>
      <c r="B47" s="4">
        <v>16547</v>
      </c>
    </row>
    <row r="48" spans="1:2" x14ac:dyDescent="0.2">
      <c r="A48" t="s">
        <v>225</v>
      </c>
      <c r="B48" s="4">
        <v>6026</v>
      </c>
    </row>
    <row r="49" spans="1:2" x14ac:dyDescent="0.2">
      <c r="A49" t="s">
        <v>226</v>
      </c>
      <c r="B49" s="4">
        <v>27489</v>
      </c>
    </row>
    <row r="50" spans="1:2" x14ac:dyDescent="0.2">
      <c r="A50" t="s">
        <v>227</v>
      </c>
      <c r="B50" s="4">
        <v>51979</v>
      </c>
    </row>
    <row r="51" spans="1:2" x14ac:dyDescent="0.2">
      <c r="A51" t="s">
        <v>228</v>
      </c>
      <c r="B51" s="4">
        <v>6687</v>
      </c>
    </row>
    <row r="52" spans="1:2" x14ac:dyDescent="0.2">
      <c r="A52" t="s">
        <v>229</v>
      </c>
      <c r="B52" s="4">
        <v>0</v>
      </c>
    </row>
    <row r="53" spans="1:2" x14ac:dyDescent="0.2">
      <c r="A53" t="s">
        <v>230</v>
      </c>
      <c r="B53" s="4">
        <v>0</v>
      </c>
    </row>
    <row r="55" spans="1:2" x14ac:dyDescent="0.2">
      <c r="A55" t="s">
        <v>231</v>
      </c>
      <c r="B55" s="4">
        <f>SUM(B4:B53)</f>
        <v>2559679</v>
      </c>
    </row>
  </sheetData>
  <phoneticPr fontId="8"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M58"/>
  <sheetViews>
    <sheetView workbookViewId="0">
      <selection activeCell="F20" sqref="F20"/>
    </sheetView>
  </sheetViews>
  <sheetFormatPr baseColWidth="10" defaultColWidth="8.83203125" defaultRowHeight="15" x14ac:dyDescent="0.2"/>
  <cols>
    <col min="1" max="1" width="20" customWidth="1"/>
    <col min="2" max="2" width="15.5" bestFit="1" customWidth="1"/>
    <col min="3" max="3" width="6" customWidth="1"/>
    <col min="4" max="7" width="15.5" customWidth="1"/>
    <col min="8" max="8" width="6.33203125" customWidth="1"/>
    <col min="9" max="11" width="12.6640625" customWidth="1"/>
    <col min="13" max="13" width="13.5" customWidth="1"/>
  </cols>
  <sheetData>
    <row r="1" spans="1:13" x14ac:dyDescent="0.2">
      <c r="A1" s="1" t="s">
        <v>241</v>
      </c>
    </row>
    <row r="2" spans="1:13" x14ac:dyDescent="0.2">
      <c r="A2" s="2" t="s">
        <v>31</v>
      </c>
      <c r="I2" s="1" t="s">
        <v>257</v>
      </c>
    </row>
    <row r="3" spans="1:13" ht="30" x14ac:dyDescent="0.2">
      <c r="B3" s="52" t="s">
        <v>172</v>
      </c>
      <c r="C3" s="52"/>
      <c r="D3" s="66" t="s">
        <v>255</v>
      </c>
      <c r="E3" s="66" t="s">
        <v>253</v>
      </c>
      <c r="F3" s="66" t="s">
        <v>254</v>
      </c>
      <c r="G3" s="66" t="s">
        <v>256</v>
      </c>
      <c r="H3" s="67"/>
      <c r="I3" s="67" t="s">
        <v>255</v>
      </c>
      <c r="J3" s="67" t="s">
        <v>251</v>
      </c>
      <c r="K3" s="67" t="s">
        <v>252</v>
      </c>
    </row>
    <row r="4" spans="1:13" x14ac:dyDescent="0.2">
      <c r="A4" t="s">
        <v>109</v>
      </c>
      <c r="B4" s="45">
        <v>125717736</v>
      </c>
      <c r="C4" s="45"/>
      <c r="D4" s="45">
        <v>1952</v>
      </c>
      <c r="E4" s="45">
        <f>6208+10941</f>
        <v>17149</v>
      </c>
      <c r="F4" s="45">
        <v>909</v>
      </c>
      <c r="G4" s="45">
        <f>SUM(D4:F4)</f>
        <v>20010</v>
      </c>
      <c r="I4" s="4">
        <f>+B4*(D4/G4) *0.001</f>
        <v>12263.919074062969</v>
      </c>
      <c r="J4" s="4">
        <f t="shared" ref="J4:J35" si="0">+B4*(E4/G4)*0.001</f>
        <v>107742.80133253374</v>
      </c>
      <c r="K4" s="4">
        <f t="shared" ref="K4:K35" si="1">+B4*(F4/G4)*0.001</f>
        <v>5711.0155934032982</v>
      </c>
      <c r="M4" s="6"/>
    </row>
    <row r="5" spans="1:13" x14ac:dyDescent="0.2">
      <c r="A5" t="s">
        <v>110</v>
      </c>
      <c r="B5" s="45">
        <v>14373541</v>
      </c>
      <c r="C5" s="45"/>
      <c r="D5" s="45">
        <v>840</v>
      </c>
      <c r="E5" s="45">
        <f>1385+1894</f>
        <v>3279</v>
      </c>
      <c r="F5" s="45">
        <v>27</v>
      </c>
      <c r="G5" s="45">
        <f t="shared" ref="G5:G53" si="2">SUM(D5:F5)</f>
        <v>4146</v>
      </c>
      <c r="I5" s="4">
        <f t="shared" ref="I5:I53" si="3">+B5*(D5/G5) *0.001</f>
        <v>2912.1501302460201</v>
      </c>
      <c r="J5" s="4">
        <f t="shared" si="0"/>
        <v>11367.786044138929</v>
      </c>
      <c r="K5" s="4">
        <f t="shared" si="1"/>
        <v>93.604825615050657</v>
      </c>
    </row>
    <row r="6" spans="1:13" x14ac:dyDescent="0.2">
      <c r="A6" t="s">
        <v>111</v>
      </c>
      <c r="B6" s="45">
        <v>121746967</v>
      </c>
      <c r="C6" s="45"/>
      <c r="D6" s="45">
        <v>3309</v>
      </c>
      <c r="E6" s="45">
        <f>5784+12407</f>
        <v>18191</v>
      </c>
      <c r="F6" s="45">
        <v>429</v>
      </c>
      <c r="G6" s="45">
        <f t="shared" si="2"/>
        <v>21929</v>
      </c>
      <c r="I6" s="4">
        <f t="shared" si="3"/>
        <v>18371.139304254641</v>
      </c>
      <c r="J6" s="4">
        <f t="shared" si="0"/>
        <v>100994.07527461351</v>
      </c>
      <c r="K6" s="4">
        <f t="shared" si="1"/>
        <v>2381.7524211318346</v>
      </c>
    </row>
    <row r="7" spans="1:13" x14ac:dyDescent="0.2">
      <c r="A7" t="s">
        <v>112</v>
      </c>
      <c r="B7" s="45">
        <v>75176442</v>
      </c>
      <c r="C7" s="45"/>
      <c r="D7" s="45">
        <v>1891</v>
      </c>
      <c r="E7" s="45">
        <f>4686+5210</f>
        <v>9896</v>
      </c>
      <c r="F7" s="45">
        <v>65</v>
      </c>
      <c r="G7" s="45">
        <f t="shared" si="2"/>
        <v>11852</v>
      </c>
      <c r="I7" s="4">
        <f t="shared" si="3"/>
        <v>11994.486316402295</v>
      </c>
      <c r="J7" s="4">
        <f t="shared" si="0"/>
        <v>62769.66503813702</v>
      </c>
      <c r="K7" s="4">
        <f t="shared" si="1"/>
        <v>412.29064546068179</v>
      </c>
    </row>
    <row r="8" spans="1:13" x14ac:dyDescent="0.2">
      <c r="A8" t="s">
        <v>113</v>
      </c>
      <c r="B8" s="45">
        <v>957971585</v>
      </c>
      <c r="C8" s="45"/>
      <c r="D8" s="45">
        <v>22844</v>
      </c>
      <c r="E8" s="45">
        <f>39047+71347</f>
        <v>110394</v>
      </c>
      <c r="F8" s="45">
        <v>2073</v>
      </c>
      <c r="G8" s="45">
        <f t="shared" si="2"/>
        <v>135311</v>
      </c>
      <c r="I8" s="4">
        <f t="shared" si="3"/>
        <v>161730.40541966286</v>
      </c>
      <c r="J8" s="4">
        <f t="shared" si="0"/>
        <v>781564.80370768078</v>
      </c>
      <c r="K8" s="4">
        <f t="shared" si="1"/>
        <v>14676.375872656325</v>
      </c>
    </row>
    <row r="9" spans="1:13" x14ac:dyDescent="0.2">
      <c r="A9" t="s">
        <v>115</v>
      </c>
      <c r="B9" s="45">
        <v>80798717</v>
      </c>
      <c r="C9" s="45"/>
      <c r="D9" s="45">
        <v>2452</v>
      </c>
      <c r="E9" s="45">
        <f>5021+6450</f>
        <v>11471</v>
      </c>
      <c r="F9" s="45">
        <v>167</v>
      </c>
      <c r="G9" s="45">
        <f t="shared" si="2"/>
        <v>14090</v>
      </c>
      <c r="I9" s="4">
        <f t="shared" si="3"/>
        <v>14060.926478637333</v>
      </c>
      <c r="J9" s="4">
        <f t="shared" si="0"/>
        <v>65780.133620085166</v>
      </c>
      <c r="K9" s="4">
        <f t="shared" si="1"/>
        <v>957.65690127750179</v>
      </c>
    </row>
    <row r="10" spans="1:13" x14ac:dyDescent="0.2">
      <c r="A10" t="s">
        <v>114</v>
      </c>
      <c r="B10" s="45">
        <v>58755649</v>
      </c>
      <c r="C10" s="45"/>
      <c r="D10" s="45">
        <v>1056</v>
      </c>
      <c r="E10" s="45">
        <f>3193+4252</f>
        <v>7445</v>
      </c>
      <c r="F10" s="45">
        <v>272</v>
      </c>
      <c r="G10" s="45">
        <f t="shared" si="2"/>
        <v>8773</v>
      </c>
      <c r="I10" s="4">
        <f t="shared" si="3"/>
        <v>7072.3772191952594</v>
      </c>
      <c r="J10" s="4">
        <f t="shared" si="0"/>
        <v>49861.598860708997</v>
      </c>
      <c r="K10" s="4">
        <f t="shared" si="1"/>
        <v>1821.6729200957484</v>
      </c>
    </row>
    <row r="11" spans="1:13" x14ac:dyDescent="0.2">
      <c r="A11" t="s">
        <v>42</v>
      </c>
      <c r="B11" s="45">
        <v>15341871</v>
      </c>
      <c r="C11" s="45"/>
      <c r="D11" s="45">
        <v>303</v>
      </c>
      <c r="E11" s="45">
        <f>555+706</f>
        <v>1261</v>
      </c>
      <c r="F11" s="45">
        <v>0</v>
      </c>
      <c r="G11" s="45">
        <f t="shared" si="2"/>
        <v>1564</v>
      </c>
      <c r="I11" s="4">
        <f t="shared" si="3"/>
        <v>2972.2422717391305</v>
      </c>
      <c r="J11" s="4">
        <f t="shared" si="0"/>
        <v>12369.62872826087</v>
      </c>
      <c r="K11" s="4">
        <f t="shared" si="1"/>
        <v>0</v>
      </c>
    </row>
    <row r="12" spans="1:13" x14ac:dyDescent="0.2">
      <c r="A12" t="s">
        <v>116</v>
      </c>
      <c r="B12" s="45">
        <v>313310850</v>
      </c>
      <c r="C12" s="45"/>
      <c r="D12" s="45">
        <v>8620</v>
      </c>
      <c r="E12" s="45">
        <f>14685+22421</f>
        <v>37106</v>
      </c>
      <c r="F12" s="45">
        <v>52</v>
      </c>
      <c r="G12" s="45">
        <f t="shared" si="2"/>
        <v>45778</v>
      </c>
      <c r="I12" s="4">
        <f t="shared" si="3"/>
        <v>58996.450849753157</v>
      </c>
      <c r="J12" s="4">
        <f t="shared" si="0"/>
        <v>253958.5040871161</v>
      </c>
      <c r="K12" s="4">
        <f t="shared" si="1"/>
        <v>355.89506313076157</v>
      </c>
    </row>
    <row r="13" spans="1:13" x14ac:dyDescent="0.2">
      <c r="A13" t="s">
        <v>117</v>
      </c>
      <c r="B13" s="45">
        <v>198596452</v>
      </c>
      <c r="C13" s="45"/>
      <c r="D13" s="45">
        <v>3434</v>
      </c>
      <c r="E13" s="45">
        <f>13410+11889</f>
        <v>25299</v>
      </c>
      <c r="F13" s="45">
        <v>33</v>
      </c>
      <c r="G13" s="45">
        <f t="shared" si="2"/>
        <v>28766</v>
      </c>
      <c r="I13" s="4">
        <f t="shared" si="3"/>
        <v>23707.857059306127</v>
      </c>
      <c r="J13" s="4">
        <f t="shared" si="0"/>
        <v>174660.76754321074</v>
      </c>
      <c r="K13" s="4">
        <f t="shared" si="1"/>
        <v>227.82739748313983</v>
      </c>
    </row>
    <row r="14" spans="1:13" x14ac:dyDescent="0.2">
      <c r="A14" t="s">
        <v>118</v>
      </c>
      <c r="B14" s="45">
        <v>25594284</v>
      </c>
      <c r="C14" s="45"/>
      <c r="D14" s="45">
        <v>739</v>
      </c>
      <c r="E14" s="45">
        <f>1030+2045</f>
        <v>3075</v>
      </c>
      <c r="F14" s="45">
        <v>4</v>
      </c>
      <c r="G14" s="45">
        <f t="shared" si="2"/>
        <v>3818</v>
      </c>
      <c r="I14" s="4">
        <f t="shared" si="3"/>
        <v>4953.9486317443689</v>
      </c>
      <c r="J14" s="4">
        <f t="shared" si="0"/>
        <v>20613.5210319539</v>
      </c>
      <c r="K14" s="4">
        <f t="shared" si="1"/>
        <v>26.814336301728655</v>
      </c>
    </row>
    <row r="15" spans="1:13" x14ac:dyDescent="0.2">
      <c r="A15" t="s">
        <v>119</v>
      </c>
      <c r="B15" s="45">
        <v>27252585</v>
      </c>
      <c r="C15" s="45"/>
      <c r="D15" s="45">
        <v>1197</v>
      </c>
      <c r="E15" s="45">
        <f>1088+2576</f>
        <v>3664</v>
      </c>
      <c r="F15" s="45">
        <v>90</v>
      </c>
      <c r="G15" s="45">
        <f t="shared" si="2"/>
        <v>4951</v>
      </c>
      <c r="I15" s="4">
        <f t="shared" si="3"/>
        <v>6588.8394758634613</v>
      </c>
      <c r="J15" s="4">
        <f t="shared" si="0"/>
        <v>20168.344059785904</v>
      </c>
      <c r="K15" s="4">
        <f t="shared" si="1"/>
        <v>495.40146435063616</v>
      </c>
    </row>
    <row r="16" spans="1:13" x14ac:dyDescent="0.2">
      <c r="A16" t="s">
        <v>120</v>
      </c>
      <c r="B16" s="45">
        <v>314325492</v>
      </c>
      <c r="C16" s="45"/>
      <c r="D16" s="45">
        <v>9078</v>
      </c>
      <c r="E16" s="45">
        <f>18600+23968</f>
        <v>42568</v>
      </c>
      <c r="F16" s="45">
        <v>336</v>
      </c>
      <c r="G16" s="45">
        <f t="shared" si="2"/>
        <v>51982</v>
      </c>
      <c r="I16" s="4">
        <f t="shared" si="3"/>
        <v>54892.978653687816</v>
      </c>
      <c r="J16" s="4">
        <f t="shared" si="0"/>
        <v>257400.78379931516</v>
      </c>
      <c r="K16" s="4">
        <f t="shared" si="1"/>
        <v>2031.7295469970375</v>
      </c>
    </row>
    <row r="17" spans="1:11" x14ac:dyDescent="0.2">
      <c r="A17" t="s">
        <v>121</v>
      </c>
      <c r="B17" s="45">
        <v>115222711</v>
      </c>
      <c r="C17" s="45"/>
      <c r="D17" s="45">
        <v>3222</v>
      </c>
      <c r="E17" s="45">
        <f>5017+9381</f>
        <v>14398</v>
      </c>
      <c r="F17" s="45">
        <v>1514</v>
      </c>
      <c r="G17" s="45">
        <f t="shared" si="2"/>
        <v>19134</v>
      </c>
      <c r="I17" s="4">
        <f t="shared" si="3"/>
        <v>19402.507308560678</v>
      </c>
      <c r="J17" s="4">
        <f t="shared" si="0"/>
        <v>86703.072696665637</v>
      </c>
      <c r="K17" s="4">
        <f t="shared" si="1"/>
        <v>9117.1309947737009</v>
      </c>
    </row>
    <row r="18" spans="1:11" x14ac:dyDescent="0.2">
      <c r="A18" t="s">
        <v>122</v>
      </c>
      <c r="B18" s="45">
        <v>59267964</v>
      </c>
      <c r="C18" s="45"/>
      <c r="D18" s="45">
        <v>2117</v>
      </c>
      <c r="E18" s="45">
        <f>3200+4336</f>
        <v>7536</v>
      </c>
      <c r="F18" s="45">
        <v>27</v>
      </c>
      <c r="G18" s="45">
        <f t="shared" si="2"/>
        <v>9680</v>
      </c>
      <c r="I18" s="4">
        <f t="shared" si="3"/>
        <v>12961.805763223141</v>
      </c>
      <c r="J18" s="4">
        <f t="shared" si="0"/>
        <v>46140.844700826456</v>
      </c>
      <c r="K18" s="4">
        <f t="shared" si="1"/>
        <v>165.31353595041321</v>
      </c>
    </row>
    <row r="19" spans="1:11" x14ac:dyDescent="0.2">
      <c r="A19" t="s">
        <v>123</v>
      </c>
      <c r="B19" s="45">
        <v>59800770</v>
      </c>
      <c r="C19" s="45"/>
      <c r="D19" s="45">
        <v>3483</v>
      </c>
      <c r="E19" s="45">
        <f>4387+4337</f>
        <v>8724</v>
      </c>
      <c r="F19" s="45">
        <v>193</v>
      </c>
      <c r="G19" s="45">
        <f t="shared" si="2"/>
        <v>12400</v>
      </c>
      <c r="I19" s="4">
        <f t="shared" si="3"/>
        <v>16797.264670161294</v>
      </c>
      <c r="J19" s="4">
        <f t="shared" si="0"/>
        <v>42072.73528064516</v>
      </c>
      <c r="K19" s="4">
        <f t="shared" si="1"/>
        <v>930.7700491935484</v>
      </c>
    </row>
    <row r="20" spans="1:11" x14ac:dyDescent="0.2">
      <c r="A20" t="s">
        <v>124</v>
      </c>
      <c r="B20" s="45">
        <v>125050972</v>
      </c>
      <c r="C20" s="45"/>
      <c r="D20" s="45">
        <v>2921</v>
      </c>
      <c r="E20" s="45">
        <f>6855+10751</f>
        <v>17606</v>
      </c>
      <c r="F20" s="45">
        <v>34</v>
      </c>
      <c r="G20" s="45">
        <f t="shared" si="2"/>
        <v>20561</v>
      </c>
      <c r="I20" s="4">
        <f t="shared" si="3"/>
        <v>17765.375672973103</v>
      </c>
      <c r="J20" s="4">
        <f t="shared" si="0"/>
        <v>107078.81003025145</v>
      </c>
      <c r="K20" s="4">
        <f t="shared" si="1"/>
        <v>206.78629677544868</v>
      </c>
    </row>
    <row r="21" spans="1:11" x14ac:dyDescent="0.2">
      <c r="A21" t="s">
        <v>125</v>
      </c>
      <c r="B21" s="45">
        <v>167980835</v>
      </c>
      <c r="C21" s="45"/>
      <c r="D21" s="45">
        <v>2131</v>
      </c>
      <c r="E21" s="45">
        <f>12411+9211</f>
        <v>21622</v>
      </c>
      <c r="F21" s="45">
        <v>92</v>
      </c>
      <c r="G21" s="45">
        <f t="shared" si="2"/>
        <v>23845</v>
      </c>
      <c r="I21" s="4">
        <f t="shared" si="3"/>
        <v>15012.252438037325</v>
      </c>
      <c r="J21" s="4">
        <f t="shared" si="0"/>
        <v>152320.47030278886</v>
      </c>
      <c r="K21" s="4">
        <f t="shared" si="1"/>
        <v>648.11225917383103</v>
      </c>
    </row>
    <row r="22" spans="1:11" x14ac:dyDescent="0.2">
      <c r="A22" t="s">
        <v>0</v>
      </c>
      <c r="B22" s="45">
        <v>31534389</v>
      </c>
      <c r="C22" s="45"/>
      <c r="D22" s="45">
        <v>1238</v>
      </c>
      <c r="E22" s="45">
        <f>1377+2071</f>
        <v>3448</v>
      </c>
      <c r="F22" s="45">
        <v>11</v>
      </c>
      <c r="G22" s="45">
        <f t="shared" si="2"/>
        <v>4697</v>
      </c>
      <c r="I22" s="4">
        <f t="shared" si="3"/>
        <v>8311.5975265062807</v>
      </c>
      <c r="J22" s="4">
        <f t="shared" si="0"/>
        <v>23148.940445390675</v>
      </c>
      <c r="K22" s="4">
        <f t="shared" si="1"/>
        <v>73.851028103044484</v>
      </c>
    </row>
    <row r="23" spans="1:11" x14ac:dyDescent="0.2">
      <c r="A23" t="s">
        <v>1</v>
      </c>
      <c r="B23" s="45">
        <v>86394017</v>
      </c>
      <c r="C23" s="45"/>
      <c r="D23" s="45">
        <v>2004</v>
      </c>
      <c r="E23" s="45">
        <f>5561+5297</f>
        <v>10858</v>
      </c>
      <c r="F23" s="45">
        <v>155</v>
      </c>
      <c r="G23" s="45">
        <f t="shared" si="2"/>
        <v>13017</v>
      </c>
      <c r="I23" s="4">
        <f t="shared" si="3"/>
        <v>13300.57694307444</v>
      </c>
      <c r="J23" s="4">
        <f t="shared" si="0"/>
        <v>72064.702818314516</v>
      </c>
      <c r="K23" s="4">
        <f t="shared" si="1"/>
        <v>1028.7372386110471</v>
      </c>
    </row>
    <row r="24" spans="1:11" x14ac:dyDescent="0.2">
      <c r="A24" t="s">
        <v>2</v>
      </c>
      <c r="B24" s="45">
        <v>122724674</v>
      </c>
      <c r="C24" s="45"/>
      <c r="D24" s="45">
        <v>3060</v>
      </c>
      <c r="E24" s="45">
        <f>5604+6986</f>
        <v>12590</v>
      </c>
      <c r="F24" s="45">
        <v>613</v>
      </c>
      <c r="G24" s="45">
        <f t="shared" si="2"/>
        <v>16263</v>
      </c>
      <c r="I24" s="4">
        <f t="shared" si="3"/>
        <v>23091.526928610958</v>
      </c>
      <c r="J24" s="4">
        <f t="shared" si="0"/>
        <v>95007.295435036591</v>
      </c>
      <c r="K24" s="4">
        <f t="shared" si="1"/>
        <v>4625.8516363524559</v>
      </c>
    </row>
    <row r="25" spans="1:11" x14ac:dyDescent="0.2">
      <c r="A25" t="s">
        <v>3</v>
      </c>
      <c r="B25" s="45">
        <v>267668992</v>
      </c>
      <c r="C25" s="45"/>
      <c r="D25" s="45">
        <v>5748</v>
      </c>
      <c r="E25" s="45">
        <f>14761+21744</f>
        <v>36505</v>
      </c>
      <c r="F25" s="45">
        <v>826</v>
      </c>
      <c r="G25" s="45">
        <f t="shared" si="2"/>
        <v>43079</v>
      </c>
      <c r="I25" s="4">
        <f t="shared" si="3"/>
        <v>35714.881172172056</v>
      </c>
      <c r="J25" s="4">
        <f t="shared" si="0"/>
        <v>226821.80535667032</v>
      </c>
      <c r="K25" s="4">
        <f t="shared" si="1"/>
        <v>5132.3054711576406</v>
      </c>
    </row>
    <row r="26" spans="1:11" x14ac:dyDescent="0.2">
      <c r="A26" t="s">
        <v>4</v>
      </c>
      <c r="B26" s="45">
        <v>83787316</v>
      </c>
      <c r="C26" s="45"/>
      <c r="D26" s="45">
        <v>3247</v>
      </c>
      <c r="E26" s="45">
        <f>5506+8130</f>
        <v>13636</v>
      </c>
      <c r="F26" s="45">
        <v>331</v>
      </c>
      <c r="G26" s="45">
        <f t="shared" si="2"/>
        <v>17214</v>
      </c>
      <c r="I26" s="4">
        <f t="shared" si="3"/>
        <v>15804.427503892182</v>
      </c>
      <c r="J26" s="4">
        <f t="shared" si="0"/>
        <v>66371.781165098189</v>
      </c>
      <c r="K26" s="4">
        <f t="shared" si="1"/>
        <v>1611.1073310096431</v>
      </c>
    </row>
    <row r="27" spans="1:11" x14ac:dyDescent="0.2">
      <c r="A27" t="s">
        <v>5</v>
      </c>
      <c r="B27" s="45">
        <v>180315944</v>
      </c>
      <c r="C27" s="45"/>
      <c r="D27" s="45">
        <v>1832</v>
      </c>
      <c r="E27" s="45">
        <f>11393+16850</f>
        <v>28243</v>
      </c>
      <c r="F27" s="45">
        <v>1</v>
      </c>
      <c r="G27" s="45">
        <f t="shared" si="2"/>
        <v>30076</v>
      </c>
      <c r="I27" s="4">
        <f t="shared" si="3"/>
        <v>10983.468859156803</v>
      </c>
      <c r="J27" s="4">
        <f t="shared" si="0"/>
        <v>169326.47979757946</v>
      </c>
      <c r="K27" s="4">
        <f t="shared" si="1"/>
        <v>5.9953432637318791</v>
      </c>
    </row>
    <row r="28" spans="1:11" x14ac:dyDescent="0.2">
      <c r="A28" t="s">
        <v>6</v>
      </c>
      <c r="B28" s="45">
        <v>138965174</v>
      </c>
      <c r="C28" s="45"/>
      <c r="D28" s="45">
        <v>4577</v>
      </c>
      <c r="E28" s="45">
        <f>7274+10088</f>
        <v>17362</v>
      </c>
      <c r="F28" s="45">
        <v>368</v>
      </c>
      <c r="G28" s="45">
        <f t="shared" si="2"/>
        <v>22307</v>
      </c>
      <c r="I28" s="4">
        <f t="shared" si="3"/>
        <v>28513.184264939257</v>
      </c>
      <c r="J28" s="4">
        <f t="shared" si="0"/>
        <v>108159.47240722644</v>
      </c>
      <c r="K28" s="4">
        <f t="shared" si="1"/>
        <v>2292.5173278343123</v>
      </c>
    </row>
    <row r="29" spans="1:11" x14ac:dyDescent="0.2">
      <c r="A29" t="s">
        <v>7</v>
      </c>
      <c r="B29" s="45">
        <v>23985541</v>
      </c>
      <c r="C29" s="45"/>
      <c r="D29" s="45">
        <v>897</v>
      </c>
      <c r="E29" s="45">
        <f>1795+2437</f>
        <v>4232</v>
      </c>
      <c r="F29" s="45">
        <v>69</v>
      </c>
      <c r="G29" s="45">
        <f t="shared" si="2"/>
        <v>5198</v>
      </c>
      <c r="I29" s="4">
        <f t="shared" si="3"/>
        <v>4139.0977831858409</v>
      </c>
      <c r="J29" s="4">
        <f t="shared" si="0"/>
        <v>19528.051079646018</v>
      </c>
      <c r="K29" s="4">
        <f t="shared" si="1"/>
        <v>318.39213716814163</v>
      </c>
    </row>
    <row r="30" spans="1:11" x14ac:dyDescent="0.2">
      <c r="A30" t="s">
        <v>8</v>
      </c>
      <c r="B30" s="45">
        <v>72187836</v>
      </c>
      <c r="C30" s="45"/>
      <c r="D30" s="45">
        <v>1626</v>
      </c>
      <c r="E30" s="45">
        <f>2075+2991</f>
        <v>5066</v>
      </c>
      <c r="F30" s="45">
        <v>64</v>
      </c>
      <c r="G30" s="45">
        <f t="shared" si="2"/>
        <v>6756</v>
      </c>
      <c r="I30" s="4">
        <f t="shared" si="3"/>
        <v>17373.804223801064</v>
      </c>
      <c r="J30" s="4">
        <f t="shared" si="0"/>
        <v>54130.192003552402</v>
      </c>
      <c r="K30" s="4">
        <f t="shared" si="1"/>
        <v>683.8397726465364</v>
      </c>
    </row>
    <row r="31" spans="1:11" x14ac:dyDescent="0.2">
      <c r="A31" t="s">
        <v>92</v>
      </c>
      <c r="B31" s="45">
        <v>29960223</v>
      </c>
      <c r="C31" s="45"/>
      <c r="D31" s="45">
        <v>961</v>
      </c>
      <c r="E31" s="45">
        <f>1486+2155</f>
        <v>3641</v>
      </c>
      <c r="F31" s="45">
        <v>2</v>
      </c>
      <c r="G31" s="45">
        <f t="shared" si="2"/>
        <v>4604</v>
      </c>
      <c r="I31" s="4">
        <f t="shared" si="3"/>
        <v>6253.6434194178973</v>
      </c>
      <c r="J31" s="4">
        <f t="shared" si="0"/>
        <v>23693.564713944394</v>
      </c>
      <c r="K31" s="4">
        <f t="shared" si="1"/>
        <v>13.014866637706342</v>
      </c>
    </row>
    <row r="32" spans="1:11" x14ac:dyDescent="0.2">
      <c r="A32" t="s">
        <v>9</v>
      </c>
      <c r="B32" s="45">
        <v>15540919</v>
      </c>
      <c r="C32" s="45"/>
      <c r="D32" s="45">
        <v>458</v>
      </c>
      <c r="E32" s="45">
        <f>689+1025</f>
        <v>1714</v>
      </c>
      <c r="F32" s="45">
        <v>2</v>
      </c>
      <c r="G32" s="45">
        <f t="shared" si="2"/>
        <v>2174</v>
      </c>
      <c r="I32" s="4">
        <f t="shared" si="3"/>
        <v>3274.0298537258509</v>
      </c>
      <c r="J32" s="4">
        <f t="shared" si="0"/>
        <v>12252.592072677093</v>
      </c>
      <c r="K32" s="4">
        <f t="shared" si="1"/>
        <v>14.297073597056118</v>
      </c>
    </row>
    <row r="33" spans="1:11" x14ac:dyDescent="0.2">
      <c r="A33" t="s">
        <v>10</v>
      </c>
      <c r="B33" s="45">
        <v>149580131</v>
      </c>
      <c r="C33" s="45"/>
      <c r="D33" s="45">
        <v>2443</v>
      </c>
      <c r="E33" s="45">
        <f>7698+8410</f>
        <v>16108</v>
      </c>
      <c r="F33" s="45">
        <v>71</v>
      </c>
      <c r="G33" s="45">
        <f t="shared" si="2"/>
        <v>18622</v>
      </c>
      <c r="I33" s="4">
        <f t="shared" si="3"/>
        <v>19623.255291214693</v>
      </c>
      <c r="J33" s="4">
        <f t="shared" si="0"/>
        <v>129386.57234174633</v>
      </c>
      <c r="K33" s="4">
        <f t="shared" si="1"/>
        <v>570.30336703898615</v>
      </c>
    </row>
    <row r="34" spans="1:11" x14ac:dyDescent="0.2">
      <c r="A34" t="s">
        <v>11</v>
      </c>
      <c r="B34" s="45">
        <v>62550656</v>
      </c>
      <c r="C34" s="45"/>
      <c r="D34" s="45">
        <v>2010</v>
      </c>
      <c r="E34" s="45">
        <f>3751+4995</f>
        <v>8746</v>
      </c>
      <c r="F34" s="45">
        <v>233</v>
      </c>
      <c r="G34" s="45">
        <f t="shared" si="2"/>
        <v>10989</v>
      </c>
      <c r="I34" s="4">
        <f t="shared" si="3"/>
        <v>11441.15193011193</v>
      </c>
      <c r="J34" s="4">
        <f t="shared" si="0"/>
        <v>49783.241184457183</v>
      </c>
      <c r="K34" s="4">
        <f t="shared" si="1"/>
        <v>1326.2628854308855</v>
      </c>
    </row>
    <row r="35" spans="1:11" x14ac:dyDescent="0.2">
      <c r="A35" t="s">
        <v>12</v>
      </c>
      <c r="B35" s="45">
        <v>493984026</v>
      </c>
      <c r="C35" s="45"/>
      <c r="D35" s="45">
        <v>9044</v>
      </c>
      <c r="E35" s="45">
        <f>24636+30816</f>
        <v>55452</v>
      </c>
      <c r="F35" s="45">
        <v>823</v>
      </c>
      <c r="G35" s="45">
        <f t="shared" si="2"/>
        <v>65319</v>
      </c>
      <c r="I35" s="4">
        <f t="shared" si="3"/>
        <v>68396.50838414552</v>
      </c>
      <c r="J35" s="4">
        <f t="shared" si="0"/>
        <v>419363.46560345381</v>
      </c>
      <c r="K35" s="4">
        <f t="shared" si="1"/>
        <v>6224.0520124006807</v>
      </c>
    </row>
    <row r="36" spans="1:11" x14ac:dyDescent="0.2">
      <c r="A36" t="s">
        <v>13</v>
      </c>
      <c r="B36" s="45">
        <v>171736149</v>
      </c>
      <c r="C36" s="45"/>
      <c r="D36" s="45">
        <v>5584</v>
      </c>
      <c r="E36" s="45">
        <f>7992+13721</f>
        <v>21713</v>
      </c>
      <c r="F36" s="45">
        <v>870</v>
      </c>
      <c r="G36" s="45">
        <f t="shared" si="2"/>
        <v>28167</v>
      </c>
      <c r="I36" s="4">
        <f t="shared" si="3"/>
        <v>34046.034580040468</v>
      </c>
      <c r="J36" s="4">
        <f t="shared" ref="J36:J53" si="4">+B36*(E36/G36)*0.001</f>
        <v>132385.66418990309</v>
      </c>
      <c r="K36" s="4">
        <f t="shared" ref="K36:K53" si="5">+B36*(F36/G36)*0.001</f>
        <v>5304.45023005645</v>
      </c>
    </row>
    <row r="37" spans="1:11" x14ac:dyDescent="0.2">
      <c r="A37" t="s">
        <v>14</v>
      </c>
      <c r="B37" s="45">
        <v>20059789</v>
      </c>
      <c r="C37" s="45"/>
      <c r="D37" s="45">
        <v>765</v>
      </c>
      <c r="E37" s="45">
        <f>1273+1840</f>
        <v>3113</v>
      </c>
      <c r="F37" s="45">
        <v>52</v>
      </c>
      <c r="G37" s="45">
        <f t="shared" si="2"/>
        <v>3930</v>
      </c>
      <c r="I37" s="4">
        <f t="shared" si="3"/>
        <v>3904.7680877862595</v>
      </c>
      <c r="J37" s="4">
        <f t="shared" si="4"/>
        <v>15889.598767684476</v>
      </c>
      <c r="K37" s="4">
        <f t="shared" si="5"/>
        <v>265.42214452926208</v>
      </c>
    </row>
    <row r="38" spans="1:11" x14ac:dyDescent="0.2">
      <c r="A38" t="s">
        <v>15</v>
      </c>
      <c r="B38" s="45">
        <v>286668880</v>
      </c>
      <c r="C38" s="45"/>
      <c r="D38" s="45">
        <v>6773</v>
      </c>
      <c r="E38" s="45">
        <f>16559+22981</f>
        <v>39540</v>
      </c>
      <c r="F38" s="45">
        <v>2737</v>
      </c>
      <c r="G38" s="45">
        <f t="shared" si="2"/>
        <v>49050</v>
      </c>
      <c r="I38" s="4">
        <f t="shared" si="3"/>
        <v>39584.267568603464</v>
      </c>
      <c r="J38" s="4">
        <f t="shared" si="4"/>
        <v>231088.43048318045</v>
      </c>
      <c r="K38" s="4">
        <f t="shared" si="5"/>
        <v>15996.181948216105</v>
      </c>
    </row>
    <row r="39" spans="1:11" x14ac:dyDescent="0.2">
      <c r="A39" t="s">
        <v>16</v>
      </c>
      <c r="B39" s="45">
        <v>97666553</v>
      </c>
      <c r="C39" s="45"/>
      <c r="D39" s="45">
        <v>3142</v>
      </c>
      <c r="E39" s="45">
        <f>8855+8661</f>
        <v>17516</v>
      </c>
      <c r="F39" s="45">
        <v>29</v>
      </c>
      <c r="G39" s="45">
        <f t="shared" si="2"/>
        <v>20687</v>
      </c>
      <c r="I39" s="4">
        <f t="shared" si="3"/>
        <v>14833.871973993329</v>
      </c>
      <c r="J39" s="4">
        <f t="shared" si="4"/>
        <v>82695.767503649637</v>
      </c>
      <c r="K39" s="4">
        <f t="shared" si="5"/>
        <v>136.91352235703582</v>
      </c>
    </row>
    <row r="40" spans="1:11" x14ac:dyDescent="0.2">
      <c r="A40" t="s">
        <v>17</v>
      </c>
      <c r="B40" s="45">
        <v>70304700</v>
      </c>
      <c r="C40" s="45"/>
      <c r="D40" s="45">
        <v>3238</v>
      </c>
      <c r="E40" s="45">
        <f>5312+8719</f>
        <v>14031</v>
      </c>
      <c r="F40" s="45">
        <v>148</v>
      </c>
      <c r="G40" s="45">
        <f t="shared" si="2"/>
        <v>17417</v>
      </c>
      <c r="I40" s="4">
        <f t="shared" si="3"/>
        <v>13070.369099155996</v>
      </c>
      <c r="J40" s="4">
        <f t="shared" si="4"/>
        <v>56636.920577596597</v>
      </c>
      <c r="K40" s="4">
        <f t="shared" si="5"/>
        <v>597.41032324740195</v>
      </c>
    </row>
    <row r="41" spans="1:11" x14ac:dyDescent="0.2">
      <c r="A41" t="s">
        <v>18</v>
      </c>
      <c r="B41" s="45">
        <v>261801900</v>
      </c>
      <c r="C41" s="45"/>
      <c r="D41" s="45">
        <v>6188</v>
      </c>
      <c r="E41" s="45">
        <f>15512+21317</f>
        <v>36829</v>
      </c>
      <c r="F41" s="45">
        <v>732</v>
      </c>
      <c r="G41" s="45">
        <f t="shared" si="2"/>
        <v>43749</v>
      </c>
      <c r="I41" s="4">
        <f t="shared" si="3"/>
        <v>37030.107138448882</v>
      </c>
      <c r="J41" s="4">
        <f t="shared" si="4"/>
        <v>220391.37294795312</v>
      </c>
      <c r="K41" s="4">
        <f t="shared" si="5"/>
        <v>4380.4199135980252</v>
      </c>
    </row>
    <row r="42" spans="1:11" x14ac:dyDescent="0.2">
      <c r="A42" t="s">
        <v>19</v>
      </c>
      <c r="B42" s="45">
        <v>25043856</v>
      </c>
      <c r="C42" s="45"/>
      <c r="D42" s="45">
        <v>992</v>
      </c>
      <c r="E42" s="45">
        <f>1028+1721</f>
        <v>2749</v>
      </c>
      <c r="F42" s="45">
        <v>45</v>
      </c>
      <c r="G42" s="45">
        <f t="shared" si="2"/>
        <v>3786</v>
      </c>
      <c r="I42" s="4">
        <f t="shared" si="3"/>
        <v>6561.9400824088752</v>
      </c>
      <c r="J42" s="4">
        <f t="shared" si="4"/>
        <v>18184.247264659272</v>
      </c>
      <c r="K42" s="4">
        <f t="shared" si="5"/>
        <v>297.66865293185418</v>
      </c>
    </row>
    <row r="43" spans="1:11" x14ac:dyDescent="0.2">
      <c r="A43" t="s">
        <v>20</v>
      </c>
      <c r="B43" s="45">
        <v>99208187</v>
      </c>
      <c r="C43" s="45"/>
      <c r="D43" s="45">
        <v>1739</v>
      </c>
      <c r="E43" s="45">
        <f>6592+6535</f>
        <v>13127</v>
      </c>
      <c r="F43" s="45">
        <v>28</v>
      </c>
      <c r="G43" s="45">
        <f t="shared" si="2"/>
        <v>14894</v>
      </c>
      <c r="I43" s="4">
        <f t="shared" si="3"/>
        <v>11583.391781455621</v>
      </c>
      <c r="J43" s="4">
        <f t="shared" si="4"/>
        <v>87438.288622868276</v>
      </c>
      <c r="K43" s="4">
        <f t="shared" si="5"/>
        <v>186.5065956761112</v>
      </c>
    </row>
    <row r="44" spans="1:11" x14ac:dyDescent="0.2">
      <c r="A44" t="s">
        <v>21</v>
      </c>
      <c r="B44" s="45">
        <v>21605345</v>
      </c>
      <c r="C44" s="45"/>
      <c r="D44" s="45">
        <v>1217</v>
      </c>
      <c r="E44" s="45">
        <f>1797+2472</f>
        <v>4269</v>
      </c>
      <c r="F44" s="45">
        <v>197</v>
      </c>
      <c r="G44" s="45">
        <f t="shared" si="2"/>
        <v>5683</v>
      </c>
      <c r="I44" s="4">
        <f t="shared" si="3"/>
        <v>4626.729696463136</v>
      </c>
      <c r="J44" s="4">
        <f t="shared" si="4"/>
        <v>16229.67056220306</v>
      </c>
      <c r="K44" s="4">
        <f t="shared" si="5"/>
        <v>748.94474133380243</v>
      </c>
    </row>
    <row r="45" spans="1:11" x14ac:dyDescent="0.2">
      <c r="A45" t="s">
        <v>22</v>
      </c>
      <c r="B45" s="45">
        <v>137123145</v>
      </c>
      <c r="C45" s="45"/>
      <c r="D45" s="45">
        <v>2088</v>
      </c>
      <c r="E45" s="45">
        <f>6787+11939</f>
        <v>18726</v>
      </c>
      <c r="F45" s="45">
        <v>4</v>
      </c>
      <c r="G45" s="45">
        <f t="shared" si="2"/>
        <v>20818</v>
      </c>
      <c r="I45" s="4">
        <f t="shared" si="3"/>
        <v>13753.152404649823</v>
      </c>
      <c r="J45" s="4">
        <f t="shared" si="4"/>
        <v>123343.64556009223</v>
      </c>
      <c r="K45" s="4">
        <f t="shared" si="5"/>
        <v>26.347035257949855</v>
      </c>
    </row>
    <row r="46" spans="1:11" x14ac:dyDescent="0.2">
      <c r="A46" t="s">
        <v>23</v>
      </c>
      <c r="B46" s="45">
        <v>559620987</v>
      </c>
      <c r="C46" s="45"/>
      <c r="D46" s="45">
        <v>14474</v>
      </c>
      <c r="E46" s="45">
        <f>32417+43297</f>
        <v>75714</v>
      </c>
      <c r="F46" s="45">
        <v>681</v>
      </c>
      <c r="G46" s="45">
        <f t="shared" si="2"/>
        <v>90869</v>
      </c>
      <c r="I46" s="4">
        <f t="shared" si="3"/>
        <v>89138.80603768061</v>
      </c>
      <c r="J46" s="4">
        <f t="shared" si="4"/>
        <v>466288.21060777607</v>
      </c>
      <c r="K46" s="4">
        <f t="shared" si="5"/>
        <v>4193.970354543354</v>
      </c>
    </row>
    <row r="47" spans="1:11" x14ac:dyDescent="0.2">
      <c r="A47" t="s">
        <v>24</v>
      </c>
      <c r="B47" s="45">
        <v>45113078</v>
      </c>
      <c r="C47" s="45"/>
      <c r="D47" s="45">
        <v>1400</v>
      </c>
      <c r="E47" s="45">
        <f>2306+4393</f>
        <v>6699</v>
      </c>
      <c r="F47" s="45">
        <v>50</v>
      </c>
      <c r="G47" s="45">
        <f t="shared" si="2"/>
        <v>8149</v>
      </c>
      <c r="I47" s="4">
        <f t="shared" si="3"/>
        <v>7750.4367652472692</v>
      </c>
      <c r="J47" s="4">
        <f t="shared" si="4"/>
        <v>37085.83992170819</v>
      </c>
      <c r="K47" s="4">
        <f t="shared" si="5"/>
        <v>276.80131304454534</v>
      </c>
    </row>
    <row r="48" spans="1:11" x14ac:dyDescent="0.2">
      <c r="A48" t="s">
        <v>25</v>
      </c>
      <c r="B48" s="45">
        <v>15143423</v>
      </c>
      <c r="C48" s="45"/>
      <c r="D48" s="45">
        <v>573</v>
      </c>
      <c r="E48" s="45">
        <f>598+701</f>
        <v>1299</v>
      </c>
      <c r="F48" s="45">
        <v>62</v>
      </c>
      <c r="G48" s="45">
        <f t="shared" si="2"/>
        <v>1934</v>
      </c>
      <c r="I48" s="4">
        <f t="shared" si="3"/>
        <v>4486.6501442606004</v>
      </c>
      <c r="J48" s="4">
        <f t="shared" si="4"/>
        <v>10171.306347983455</v>
      </c>
      <c r="K48" s="4">
        <f t="shared" si="5"/>
        <v>485.46650775594628</v>
      </c>
    </row>
    <row r="49" spans="1:11" x14ac:dyDescent="0.2">
      <c r="A49" t="s">
        <v>26</v>
      </c>
      <c r="B49" s="45">
        <v>115286747</v>
      </c>
      <c r="C49" s="45"/>
      <c r="D49" s="45">
        <v>2761</v>
      </c>
      <c r="E49" s="45">
        <f>5860+8719</f>
        <v>14579</v>
      </c>
      <c r="F49" s="45">
        <v>138</v>
      </c>
      <c r="G49" s="45">
        <f t="shared" si="2"/>
        <v>17478</v>
      </c>
      <c r="I49" s="4">
        <f t="shared" si="3"/>
        <v>18211.849666266164</v>
      </c>
      <c r="J49" s="4">
        <f t="shared" si="4"/>
        <v>96164.634655738657</v>
      </c>
      <c r="K49" s="4">
        <f t="shared" si="5"/>
        <v>910.26267799519394</v>
      </c>
    </row>
    <row r="50" spans="1:11" x14ac:dyDescent="0.2">
      <c r="A50" t="s">
        <v>27</v>
      </c>
      <c r="B50" s="45">
        <v>117458766</v>
      </c>
      <c r="C50" s="45"/>
      <c r="D50" s="45">
        <v>6044</v>
      </c>
      <c r="E50" s="45">
        <f>5037+8940</f>
        <v>13977</v>
      </c>
      <c r="F50" s="45">
        <v>286</v>
      </c>
      <c r="G50" s="45">
        <f t="shared" si="2"/>
        <v>20307</v>
      </c>
      <c r="I50" s="4">
        <f t="shared" si="3"/>
        <v>34959.412109321907</v>
      </c>
      <c r="J50" s="4">
        <f t="shared" si="4"/>
        <v>80845.086540700257</v>
      </c>
      <c r="K50" s="4">
        <f t="shared" si="5"/>
        <v>1654.26734997784</v>
      </c>
    </row>
    <row r="51" spans="1:11" x14ac:dyDescent="0.2">
      <c r="A51" t="s">
        <v>28</v>
      </c>
      <c r="B51" s="45">
        <v>58201030</v>
      </c>
      <c r="C51" s="45"/>
      <c r="D51" s="45">
        <v>1121</v>
      </c>
      <c r="E51" s="45">
        <f>2382+5879</f>
        <v>8261</v>
      </c>
      <c r="F51" s="45">
        <v>35</v>
      </c>
      <c r="G51" s="45">
        <f t="shared" si="2"/>
        <v>9417</v>
      </c>
      <c r="I51" s="4">
        <f t="shared" si="3"/>
        <v>6928.2525889349054</v>
      </c>
      <c r="J51" s="4">
        <f t="shared" si="4"/>
        <v>51056.462655835188</v>
      </c>
      <c r="K51" s="4">
        <f t="shared" si="5"/>
        <v>216.31475522990337</v>
      </c>
    </row>
    <row r="52" spans="1:11" x14ac:dyDescent="0.2">
      <c r="A52" t="s">
        <v>29</v>
      </c>
      <c r="B52" s="45">
        <v>105184250</v>
      </c>
      <c r="C52" s="45"/>
      <c r="D52" s="45">
        <v>3297</v>
      </c>
      <c r="E52" s="45">
        <f>8501+7661</f>
        <v>16162</v>
      </c>
      <c r="F52" s="45">
        <v>177</v>
      </c>
      <c r="G52" s="45">
        <f t="shared" si="2"/>
        <v>19636</v>
      </c>
      <c r="I52" s="4">
        <f t="shared" si="3"/>
        <v>17661.054810042777</v>
      </c>
      <c r="J52" s="4">
        <f t="shared" si="4"/>
        <v>86575.058489509058</v>
      </c>
      <c r="K52" s="4">
        <f t="shared" si="5"/>
        <v>948.13670044815638</v>
      </c>
    </row>
    <row r="53" spans="1:11" x14ac:dyDescent="0.2">
      <c r="A53" t="s">
        <v>30</v>
      </c>
      <c r="B53" s="45">
        <v>13438273</v>
      </c>
      <c r="C53" s="45"/>
      <c r="D53" s="45">
        <v>551</v>
      </c>
      <c r="E53" s="45">
        <f>814+1114</f>
        <v>1928</v>
      </c>
      <c r="F53" s="45">
        <v>17</v>
      </c>
      <c r="G53" s="45">
        <f t="shared" si="2"/>
        <v>2496</v>
      </c>
      <c r="I53" s="4">
        <f t="shared" si="3"/>
        <v>2966.5418361378206</v>
      </c>
      <c r="J53" s="4">
        <f t="shared" si="4"/>
        <v>10380.204464743591</v>
      </c>
      <c r="K53" s="4">
        <f t="shared" si="5"/>
        <v>91.526699118589747</v>
      </c>
    </row>
    <row r="54" spans="1:11" x14ac:dyDescent="0.2">
      <c r="B54" s="45"/>
      <c r="C54" s="45"/>
      <c r="D54" s="45"/>
      <c r="E54" s="45"/>
      <c r="F54" s="45"/>
      <c r="G54" s="45"/>
    </row>
    <row r="55" spans="1:11" x14ac:dyDescent="0.2">
      <c r="A55" t="s">
        <v>137</v>
      </c>
      <c r="B55" s="45">
        <f>SUM(B4:B53)</f>
        <v>6836130319</v>
      </c>
      <c r="C55" s="45"/>
      <c r="D55" s="45">
        <f t="shared" ref="D55:K55" si="6">SUM(D4:D53)</f>
        <v>172681</v>
      </c>
      <c r="E55" s="45">
        <f t="shared" si="6"/>
        <v>888517</v>
      </c>
      <c r="F55" s="45">
        <f t="shared" si="6"/>
        <v>16174</v>
      </c>
      <c r="G55" s="45">
        <f t="shared" si="6"/>
        <v>1077372</v>
      </c>
      <c r="I55" s="45">
        <f t="shared" si="6"/>
        <v>1089775.7171923637</v>
      </c>
      <c r="J55" s="45">
        <f t="shared" si="6"/>
        <v>5645456.9127272954</v>
      </c>
      <c r="K55" s="45">
        <f t="shared" si="6"/>
        <v>100897.6890803401</v>
      </c>
    </row>
    <row r="56" spans="1:11" x14ac:dyDescent="0.2">
      <c r="A56" t="s">
        <v>33</v>
      </c>
      <c r="B56" s="45">
        <v>6837452349</v>
      </c>
      <c r="C56" s="45"/>
      <c r="D56" s="45"/>
      <c r="E56" s="45"/>
      <c r="F56" s="45"/>
      <c r="G56" s="45"/>
    </row>
    <row r="58" spans="1:11" x14ac:dyDescent="0.2">
      <c r="A58" t="s">
        <v>138</v>
      </c>
      <c r="B58" t="s">
        <v>143</v>
      </c>
      <c r="J58" s="45"/>
    </row>
  </sheetData>
  <phoneticPr fontId="8" type="noConversion"/>
  <pageMargins left="0.7" right="0.7" top="0.75" bottom="0.75" header="0.3" footer="0.3"/>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pageSetUpPr fitToPage="1"/>
  </sheetPr>
  <dimension ref="A1:B57"/>
  <sheetViews>
    <sheetView view="pageBreakPreview" zoomScaleNormal="130" zoomScaleSheetLayoutView="100" zoomScalePageLayoutView="130" workbookViewId="0">
      <selection activeCell="A30" sqref="A30"/>
    </sheetView>
  </sheetViews>
  <sheetFormatPr baseColWidth="10" defaultColWidth="8.83203125" defaultRowHeight="15" x14ac:dyDescent="0.2"/>
  <cols>
    <col min="1" max="1" width="20.5" customWidth="1"/>
    <col min="2" max="2" width="16.1640625" style="4" customWidth="1"/>
  </cols>
  <sheetData>
    <row r="1" spans="1:2" x14ac:dyDescent="0.2">
      <c r="A1" s="1" t="s">
        <v>38</v>
      </c>
    </row>
    <row r="2" spans="1:2" x14ac:dyDescent="0.2">
      <c r="A2" s="2" t="s">
        <v>31</v>
      </c>
    </row>
    <row r="3" spans="1:2" s="11" customFormat="1" ht="30" x14ac:dyDescent="0.2">
      <c r="A3" s="3"/>
      <c r="B3" s="5" t="s">
        <v>41</v>
      </c>
    </row>
    <row r="4" spans="1:2" x14ac:dyDescent="0.2">
      <c r="A4" t="s">
        <v>109</v>
      </c>
      <c r="B4" s="4">
        <v>19087</v>
      </c>
    </row>
    <row r="5" spans="1:2" x14ac:dyDescent="0.2">
      <c r="A5" t="s">
        <v>110</v>
      </c>
      <c r="B5" s="4">
        <v>1700</v>
      </c>
    </row>
    <row r="6" spans="1:2" x14ac:dyDescent="0.2">
      <c r="A6" t="s">
        <v>111</v>
      </c>
      <c r="B6" s="4">
        <v>9224</v>
      </c>
    </row>
    <row r="7" spans="1:2" x14ac:dyDescent="0.2">
      <c r="A7" t="s">
        <v>112</v>
      </c>
      <c r="B7" s="4">
        <v>111000</v>
      </c>
    </row>
    <row r="8" spans="1:2" x14ac:dyDescent="0.2">
      <c r="A8" t="s">
        <v>113</v>
      </c>
      <c r="B8" s="4">
        <v>728223</v>
      </c>
    </row>
    <row r="9" spans="1:2" x14ac:dyDescent="0.2">
      <c r="A9" t="s">
        <v>115</v>
      </c>
      <c r="B9" s="4">
        <v>37255</v>
      </c>
    </row>
    <row r="10" spans="1:2" x14ac:dyDescent="0.2">
      <c r="A10" t="s">
        <v>114</v>
      </c>
      <c r="B10" s="4">
        <v>75432</v>
      </c>
    </row>
    <row r="11" spans="1:2" x14ac:dyDescent="0.2">
      <c r="A11" t="s">
        <v>42</v>
      </c>
      <c r="B11" s="4">
        <v>5728</v>
      </c>
    </row>
    <row r="12" spans="1:2" x14ac:dyDescent="0.2">
      <c r="A12" t="s">
        <v>116</v>
      </c>
      <c r="B12" s="4">
        <v>399464</v>
      </c>
    </row>
    <row r="13" spans="1:2" x14ac:dyDescent="0.2">
      <c r="A13" t="s">
        <v>117</v>
      </c>
      <c r="B13" s="4">
        <v>289223</v>
      </c>
    </row>
    <row r="14" spans="1:2" x14ac:dyDescent="0.2">
      <c r="A14" t="s">
        <v>118</v>
      </c>
      <c r="B14" s="10">
        <v>0</v>
      </c>
    </row>
    <row r="15" spans="1:2" x14ac:dyDescent="0.2">
      <c r="A15" t="s">
        <v>119</v>
      </c>
      <c r="B15" s="10">
        <v>0</v>
      </c>
    </row>
    <row r="16" spans="1:2" x14ac:dyDescent="0.2">
      <c r="A16" t="s">
        <v>120</v>
      </c>
      <c r="B16" s="4">
        <v>259771</v>
      </c>
    </row>
    <row r="17" spans="1:2" x14ac:dyDescent="0.2">
      <c r="A17" t="s">
        <v>121</v>
      </c>
      <c r="B17" s="10">
        <v>0</v>
      </c>
    </row>
    <row r="18" spans="1:2" x14ac:dyDescent="0.2">
      <c r="A18" t="s">
        <v>122</v>
      </c>
      <c r="B18" s="4">
        <v>78490</v>
      </c>
    </row>
    <row r="19" spans="1:2" x14ac:dyDescent="0.2">
      <c r="A19" t="s">
        <v>123</v>
      </c>
      <c r="B19" s="4">
        <v>18243</v>
      </c>
    </row>
    <row r="20" spans="1:2" x14ac:dyDescent="0.2">
      <c r="A20" t="s">
        <v>124</v>
      </c>
      <c r="B20" s="4">
        <v>74765</v>
      </c>
    </row>
    <row r="21" spans="1:2" x14ac:dyDescent="0.2">
      <c r="A21" t="s">
        <v>125</v>
      </c>
      <c r="B21" s="4">
        <v>91066</v>
      </c>
    </row>
    <row r="22" spans="1:2" x14ac:dyDescent="0.2">
      <c r="A22" t="s">
        <v>0</v>
      </c>
      <c r="B22" s="4">
        <v>10587</v>
      </c>
    </row>
    <row r="23" spans="1:2" x14ac:dyDescent="0.2">
      <c r="A23" t="s">
        <v>1</v>
      </c>
      <c r="B23" s="4">
        <v>103262</v>
      </c>
    </row>
    <row r="24" spans="1:2" x14ac:dyDescent="0.2">
      <c r="A24" t="s">
        <v>2</v>
      </c>
      <c r="B24" s="4">
        <v>53840</v>
      </c>
    </row>
    <row r="25" spans="1:2" x14ac:dyDescent="0.2">
      <c r="A25" t="s">
        <v>3</v>
      </c>
      <c r="B25" s="4">
        <v>104275</v>
      </c>
    </row>
    <row r="26" spans="1:2" x14ac:dyDescent="0.2">
      <c r="A26" t="s">
        <v>4</v>
      </c>
      <c r="B26" s="4">
        <v>13764</v>
      </c>
    </row>
    <row r="27" spans="1:2" x14ac:dyDescent="0.2">
      <c r="A27" t="s">
        <v>5</v>
      </c>
      <c r="B27" s="10">
        <v>0</v>
      </c>
    </row>
    <row r="28" spans="1:2" x14ac:dyDescent="0.2">
      <c r="A28" t="s">
        <v>6</v>
      </c>
      <c r="B28" s="4">
        <v>11005</v>
      </c>
    </row>
    <row r="29" spans="1:2" x14ac:dyDescent="0.2">
      <c r="A29" t="s">
        <v>7</v>
      </c>
      <c r="B29" s="10">
        <v>0</v>
      </c>
    </row>
    <row r="30" spans="1:2" x14ac:dyDescent="0.2">
      <c r="A30" t="s">
        <v>8</v>
      </c>
      <c r="B30" s="4">
        <v>9629</v>
      </c>
    </row>
    <row r="31" spans="1:2" x14ac:dyDescent="0.2">
      <c r="A31" t="s">
        <v>92</v>
      </c>
      <c r="B31" s="4">
        <v>3339</v>
      </c>
    </row>
    <row r="32" spans="1:2" x14ac:dyDescent="0.2">
      <c r="A32" t="s">
        <v>9</v>
      </c>
      <c r="B32" s="10">
        <v>0</v>
      </c>
    </row>
    <row r="33" spans="1:2" x14ac:dyDescent="0.2">
      <c r="A33" t="s">
        <v>10</v>
      </c>
      <c r="B33" s="4">
        <v>600894</v>
      </c>
    </row>
    <row r="34" spans="1:2" x14ac:dyDescent="0.2">
      <c r="A34" t="s">
        <v>11</v>
      </c>
      <c r="B34" s="4">
        <v>14514</v>
      </c>
    </row>
    <row r="35" spans="1:2" x14ac:dyDescent="0.2">
      <c r="A35" t="s">
        <v>12</v>
      </c>
      <c r="B35" s="4">
        <v>380170</v>
      </c>
    </row>
    <row r="36" spans="1:2" x14ac:dyDescent="0.2">
      <c r="A36" t="s">
        <v>13</v>
      </c>
      <c r="B36" s="4">
        <v>128147</v>
      </c>
    </row>
    <row r="37" spans="1:2" x14ac:dyDescent="0.2">
      <c r="A37" t="s">
        <v>14</v>
      </c>
      <c r="B37" s="10">
        <v>0</v>
      </c>
    </row>
    <row r="38" spans="1:2" x14ac:dyDescent="0.2">
      <c r="A38" t="s">
        <v>15</v>
      </c>
      <c r="B38" s="4">
        <v>22688</v>
      </c>
    </row>
    <row r="39" spans="1:2" x14ac:dyDescent="0.2">
      <c r="A39" t="s">
        <v>16</v>
      </c>
      <c r="B39" s="4">
        <v>146407</v>
      </c>
    </row>
    <row r="40" spans="1:2" x14ac:dyDescent="0.2">
      <c r="A40" t="s">
        <v>17</v>
      </c>
      <c r="B40" s="4">
        <v>61000</v>
      </c>
    </row>
    <row r="41" spans="1:2" x14ac:dyDescent="0.2">
      <c r="A41" t="s">
        <v>18</v>
      </c>
      <c r="B41" s="4">
        <v>157592</v>
      </c>
    </row>
    <row r="42" spans="1:2" x14ac:dyDescent="0.2">
      <c r="A42" t="s">
        <v>19</v>
      </c>
      <c r="B42" s="4">
        <v>358</v>
      </c>
    </row>
    <row r="43" spans="1:2" x14ac:dyDescent="0.2">
      <c r="A43" t="s">
        <v>20</v>
      </c>
      <c r="B43" s="4">
        <v>35709</v>
      </c>
    </row>
    <row r="44" spans="1:2" x14ac:dyDescent="0.2">
      <c r="A44" t="s">
        <v>21</v>
      </c>
      <c r="B44" s="10">
        <v>0</v>
      </c>
    </row>
    <row r="45" spans="1:2" x14ac:dyDescent="0.2">
      <c r="A45" t="s">
        <v>22</v>
      </c>
      <c r="B45" s="4">
        <v>84255</v>
      </c>
    </row>
    <row r="46" spans="1:2" x14ac:dyDescent="0.2">
      <c r="A46" t="s">
        <v>23</v>
      </c>
      <c r="B46" s="4">
        <v>727213</v>
      </c>
    </row>
    <row r="47" spans="1:2" x14ac:dyDescent="0.2">
      <c r="A47" t="s">
        <v>24</v>
      </c>
      <c r="B47" s="10">
        <v>0</v>
      </c>
    </row>
    <row r="48" spans="1:2" x14ac:dyDescent="0.2">
      <c r="A48" t="s">
        <v>25</v>
      </c>
      <c r="B48" s="4">
        <v>20374</v>
      </c>
    </row>
    <row r="49" spans="1:2" x14ac:dyDescent="0.2">
      <c r="A49" t="s">
        <v>26</v>
      </c>
      <c r="B49" s="4">
        <v>62780</v>
      </c>
    </row>
    <row r="50" spans="1:2" x14ac:dyDescent="0.2">
      <c r="A50" t="s">
        <v>27</v>
      </c>
      <c r="B50" s="4">
        <v>57056</v>
      </c>
    </row>
    <row r="51" spans="1:2" x14ac:dyDescent="0.2">
      <c r="A51" t="s">
        <v>28</v>
      </c>
      <c r="B51" s="4">
        <v>91644</v>
      </c>
    </row>
    <row r="52" spans="1:2" x14ac:dyDescent="0.2">
      <c r="A52" t="s">
        <v>29</v>
      </c>
      <c r="B52" s="4">
        <v>153864</v>
      </c>
    </row>
    <row r="53" spans="1:2" x14ac:dyDescent="0.2">
      <c r="A53" t="s">
        <v>30</v>
      </c>
      <c r="B53" s="10">
        <v>0</v>
      </c>
    </row>
    <row r="54" spans="1:2" x14ac:dyDescent="0.2">
      <c r="A54" t="s">
        <v>40</v>
      </c>
      <c r="B54" s="4">
        <f>5119322</f>
        <v>5119322</v>
      </c>
    </row>
    <row r="55" spans="1:2" x14ac:dyDescent="0.2">
      <c r="A55" t="s">
        <v>32</v>
      </c>
      <c r="B55" s="4">
        <f>SUM(B4:B53)</f>
        <v>5253037</v>
      </c>
    </row>
    <row r="57" spans="1:2" x14ac:dyDescent="0.2">
      <c r="A57" t="s">
        <v>43</v>
      </c>
      <c r="B57" s="13" t="s">
        <v>44</v>
      </c>
    </row>
  </sheetData>
  <phoneticPr fontId="8" type="noConversion"/>
  <pageMargins left="0.7" right="0.7" top="0.75" bottom="0.75" header="0.3" footer="0.3"/>
  <pageSetup scale="81"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tabColor rgb="FF00B0F0"/>
  </sheetPr>
  <dimension ref="A1:J55"/>
  <sheetViews>
    <sheetView workbookViewId="0">
      <selection activeCell="M10" sqref="M10"/>
    </sheetView>
  </sheetViews>
  <sheetFormatPr baseColWidth="10" defaultColWidth="8.83203125" defaultRowHeight="15" x14ac:dyDescent="0.2"/>
  <cols>
    <col min="1" max="1" width="18.1640625" customWidth="1"/>
    <col min="2" max="2" width="16.6640625" style="4" customWidth="1"/>
    <col min="3" max="3" width="12.6640625" style="68" customWidth="1"/>
    <col min="4" max="4" width="13.1640625" style="69" customWidth="1"/>
    <col min="7" max="7" width="9.5" style="7" customWidth="1"/>
    <col min="8" max="8" width="10.83203125" customWidth="1"/>
    <col min="10" max="10" width="17.5" customWidth="1"/>
  </cols>
  <sheetData>
    <row r="1" spans="1:10" x14ac:dyDescent="0.2">
      <c r="A1" s="1" t="s">
        <v>38</v>
      </c>
    </row>
    <row r="2" spans="1:10" x14ac:dyDescent="0.2">
      <c r="A2" s="2" t="s">
        <v>104</v>
      </c>
    </row>
    <row r="3" spans="1:10" s="12" customFormat="1" ht="90" customHeight="1" x14ac:dyDescent="0.2">
      <c r="A3" s="3"/>
      <c r="B3" s="19" t="s">
        <v>101</v>
      </c>
      <c r="C3" s="19" t="s">
        <v>339</v>
      </c>
      <c r="D3" s="19" t="s">
        <v>340</v>
      </c>
      <c r="F3" s="12" t="s">
        <v>336</v>
      </c>
      <c r="G3" s="112" t="s">
        <v>337</v>
      </c>
      <c r="H3" s="12" t="s">
        <v>338</v>
      </c>
      <c r="J3" s="12" t="s">
        <v>341</v>
      </c>
    </row>
    <row r="4" spans="1:10" x14ac:dyDescent="0.2">
      <c r="A4" t="s">
        <v>109</v>
      </c>
      <c r="B4" s="4">
        <v>5202000</v>
      </c>
      <c r="C4" s="68">
        <v>0.27</v>
      </c>
      <c r="D4" s="27">
        <f t="shared" ref="D4:D35" si="0">+B4*C4</f>
        <v>1404540</v>
      </c>
      <c r="F4" s="74">
        <v>6.4000000000000001E-2</v>
      </c>
      <c r="G4" s="7">
        <v>0.41</v>
      </c>
      <c r="H4" s="7">
        <f>+G4*F4</f>
        <v>2.6239999999999999E-2</v>
      </c>
      <c r="J4" s="4">
        <f>+B4*(C4+H4)</f>
        <v>1541040.48</v>
      </c>
    </row>
    <row r="5" spans="1:10" x14ac:dyDescent="0.2">
      <c r="A5" t="s">
        <v>110</v>
      </c>
      <c r="B5" s="4">
        <v>1441000</v>
      </c>
      <c r="C5" s="68">
        <v>0.28999999999999998</v>
      </c>
      <c r="D5" s="27">
        <f t="shared" si="0"/>
        <v>417890</v>
      </c>
      <c r="F5" s="74">
        <v>5.8999999999999997E-2</v>
      </c>
      <c r="G5" s="7">
        <v>0.39</v>
      </c>
      <c r="H5" s="7">
        <f t="shared" ref="H5:H53" si="1">+G5*F5</f>
        <v>2.3009999999999999E-2</v>
      </c>
      <c r="J5" s="4">
        <f t="shared" ref="J5:J53" si="2">+B5*(C5+H5)</f>
        <v>451047.40999999992</v>
      </c>
    </row>
    <row r="6" spans="1:10" x14ac:dyDescent="0.2">
      <c r="A6" t="s">
        <v>111</v>
      </c>
      <c r="B6" s="4">
        <v>8167000</v>
      </c>
      <c r="C6" s="68">
        <v>0.2</v>
      </c>
      <c r="D6" s="27">
        <f t="shared" si="0"/>
        <v>1633400</v>
      </c>
      <c r="F6" s="74">
        <v>7.5999999999999998E-2</v>
      </c>
      <c r="G6" s="7">
        <v>0.36</v>
      </c>
      <c r="H6" s="7">
        <f t="shared" si="1"/>
        <v>2.7359999999999999E-2</v>
      </c>
      <c r="J6" s="4">
        <f t="shared" si="2"/>
        <v>1856849.12</v>
      </c>
    </row>
    <row r="7" spans="1:10" x14ac:dyDescent="0.2">
      <c r="A7" t="s">
        <v>112</v>
      </c>
      <c r="B7" s="4">
        <v>4362000</v>
      </c>
      <c r="C7" s="68">
        <v>0.24</v>
      </c>
      <c r="D7" s="27">
        <f t="shared" si="0"/>
        <v>1046880</v>
      </c>
      <c r="F7" s="74">
        <v>8.4000000000000005E-2</v>
      </c>
      <c r="G7" s="7">
        <v>0.46</v>
      </c>
      <c r="H7" s="7">
        <f t="shared" si="1"/>
        <v>3.8640000000000001E-2</v>
      </c>
      <c r="J7" s="4">
        <f t="shared" si="2"/>
        <v>1215427.68</v>
      </c>
    </row>
    <row r="8" spans="1:10" x14ac:dyDescent="0.2">
      <c r="A8" t="s">
        <v>113</v>
      </c>
      <c r="B8" s="4">
        <v>53271000</v>
      </c>
      <c r="C8" s="68">
        <v>0.21</v>
      </c>
      <c r="D8" s="27">
        <f t="shared" si="0"/>
        <v>11186910</v>
      </c>
      <c r="F8" s="74">
        <v>7.3999999999999996E-2</v>
      </c>
      <c r="G8" s="7">
        <v>0.41</v>
      </c>
      <c r="H8" s="7">
        <f t="shared" si="1"/>
        <v>3.0339999999999995E-2</v>
      </c>
      <c r="J8" s="4">
        <f t="shared" si="2"/>
        <v>12803152.140000001</v>
      </c>
    </row>
    <row r="9" spans="1:10" x14ac:dyDescent="0.2">
      <c r="A9" t="s">
        <v>115</v>
      </c>
      <c r="B9" s="4">
        <v>4916000</v>
      </c>
      <c r="C9" s="68">
        <v>0.23</v>
      </c>
      <c r="D9" s="27">
        <f t="shared" si="0"/>
        <v>1130680</v>
      </c>
      <c r="F9" s="74">
        <v>8.3000000000000004E-2</v>
      </c>
      <c r="G9" s="7">
        <v>0.43</v>
      </c>
      <c r="H9" s="7">
        <f t="shared" si="1"/>
        <v>3.569E-2</v>
      </c>
      <c r="J9" s="4">
        <f t="shared" si="2"/>
        <v>1306132.0399999998</v>
      </c>
    </row>
    <row r="10" spans="1:10" x14ac:dyDescent="0.2">
      <c r="A10" t="s">
        <v>114</v>
      </c>
      <c r="B10" s="4">
        <v>6696000</v>
      </c>
      <c r="C10" s="68">
        <v>0.17</v>
      </c>
      <c r="D10" s="27">
        <f t="shared" si="0"/>
        <v>1138320</v>
      </c>
      <c r="F10" s="74">
        <v>8.3000000000000004E-2</v>
      </c>
      <c r="G10" s="7">
        <v>0.34</v>
      </c>
      <c r="H10" s="7">
        <f t="shared" si="1"/>
        <v>2.8220000000000002E-2</v>
      </c>
      <c r="J10" s="4">
        <f t="shared" si="2"/>
        <v>1327281.1200000001</v>
      </c>
    </row>
    <row r="11" spans="1:10" x14ac:dyDescent="0.2">
      <c r="A11" t="s">
        <v>42</v>
      </c>
      <c r="B11" s="4">
        <v>1573000</v>
      </c>
      <c r="C11" s="68">
        <v>0.2</v>
      </c>
      <c r="D11" s="27">
        <f t="shared" si="0"/>
        <v>314600</v>
      </c>
      <c r="F11" s="74">
        <v>7.1999999999999995E-2</v>
      </c>
      <c r="G11" s="7">
        <v>0.32</v>
      </c>
      <c r="H11" s="7">
        <f t="shared" si="1"/>
        <v>2.3039999999999998E-2</v>
      </c>
      <c r="J11" s="4">
        <f t="shared" si="2"/>
        <v>350841.92000000004</v>
      </c>
    </row>
    <row r="12" spans="1:10" x14ac:dyDescent="0.2">
      <c r="A12" t="s">
        <v>116</v>
      </c>
      <c r="B12" s="4">
        <v>18647000</v>
      </c>
      <c r="C12" s="68">
        <v>0.2</v>
      </c>
      <c r="D12" s="27">
        <f t="shared" si="0"/>
        <v>3729400</v>
      </c>
      <c r="F12" s="74">
        <v>6.5000000000000002E-2</v>
      </c>
      <c r="G12" s="7">
        <v>0.42</v>
      </c>
      <c r="H12" s="7">
        <f t="shared" si="1"/>
        <v>2.7300000000000001E-2</v>
      </c>
      <c r="J12" s="4">
        <f t="shared" si="2"/>
        <v>4238463.0999999996</v>
      </c>
    </row>
    <row r="13" spans="1:10" x14ac:dyDescent="0.2">
      <c r="A13" t="s">
        <v>117</v>
      </c>
      <c r="B13" s="4">
        <v>8795000</v>
      </c>
      <c r="C13" s="68">
        <v>0.3</v>
      </c>
      <c r="D13" s="27">
        <f t="shared" si="0"/>
        <v>2638500</v>
      </c>
      <c r="F13" s="74">
        <v>8.4000000000000005E-2</v>
      </c>
      <c r="G13" s="7">
        <v>0.36</v>
      </c>
      <c r="H13" s="7">
        <f t="shared" si="1"/>
        <v>3.024E-2</v>
      </c>
      <c r="J13" s="4">
        <f t="shared" si="2"/>
        <v>2904460.8</v>
      </c>
    </row>
    <row r="14" spans="1:10" x14ac:dyDescent="0.2">
      <c r="A14" t="s">
        <v>118</v>
      </c>
      <c r="B14" s="4">
        <v>1512000</v>
      </c>
      <c r="C14" s="68">
        <v>0.16</v>
      </c>
      <c r="D14" s="27">
        <f t="shared" si="0"/>
        <v>241920</v>
      </c>
      <c r="F14" s="74">
        <v>5.8999999999999997E-2</v>
      </c>
      <c r="G14" s="7">
        <v>0.3</v>
      </c>
      <c r="H14" s="7">
        <f t="shared" si="1"/>
        <v>1.7699999999999997E-2</v>
      </c>
      <c r="J14" s="4">
        <f t="shared" si="2"/>
        <v>268682.40000000002</v>
      </c>
    </row>
    <row r="15" spans="1:10" x14ac:dyDescent="0.2">
      <c r="A15" t="s">
        <v>119</v>
      </c>
      <c r="B15" s="4">
        <v>1516000</v>
      </c>
      <c r="C15" s="68">
        <v>0.22</v>
      </c>
      <c r="D15" s="27">
        <f t="shared" si="0"/>
        <v>333520</v>
      </c>
      <c r="F15" s="74">
        <v>9.9000000000000005E-2</v>
      </c>
      <c r="G15" s="7">
        <v>0.52</v>
      </c>
      <c r="H15" s="7">
        <f t="shared" si="1"/>
        <v>5.1480000000000005E-2</v>
      </c>
      <c r="J15" s="4">
        <f t="shared" si="2"/>
        <v>411563.68</v>
      </c>
    </row>
    <row r="16" spans="1:10" x14ac:dyDescent="0.2">
      <c r="A16" t="s">
        <v>120</v>
      </c>
      <c r="B16" s="4">
        <v>13995000</v>
      </c>
      <c r="C16" s="68">
        <v>0.25</v>
      </c>
      <c r="D16" s="27">
        <f t="shared" si="0"/>
        <v>3498750</v>
      </c>
      <c r="F16" s="74">
        <v>8.1000000000000003E-2</v>
      </c>
      <c r="G16" s="7">
        <v>0.4</v>
      </c>
      <c r="H16" s="7">
        <f t="shared" si="1"/>
        <v>3.2400000000000005E-2</v>
      </c>
      <c r="J16" s="4">
        <f t="shared" si="2"/>
        <v>3952188</v>
      </c>
    </row>
    <row r="17" spans="1:10" x14ac:dyDescent="0.2">
      <c r="A17" t="s">
        <v>121</v>
      </c>
      <c r="B17" s="4">
        <v>7891000</v>
      </c>
      <c r="C17" s="68">
        <v>0.2</v>
      </c>
      <c r="D17" s="27">
        <f t="shared" si="0"/>
        <v>1578200</v>
      </c>
      <c r="F17" s="74">
        <v>9.1999999999999998E-2</v>
      </c>
      <c r="G17" s="7">
        <v>0.44</v>
      </c>
      <c r="H17" s="7">
        <f t="shared" si="1"/>
        <v>4.0480000000000002E-2</v>
      </c>
      <c r="J17" s="4">
        <f t="shared" si="2"/>
        <v>1897627.6800000002</v>
      </c>
    </row>
    <row r="18" spans="1:10" x14ac:dyDescent="0.2">
      <c r="A18" t="s">
        <v>122</v>
      </c>
      <c r="B18" s="4">
        <v>3574000</v>
      </c>
      <c r="C18" s="68">
        <v>0.18</v>
      </c>
      <c r="D18" s="27">
        <f t="shared" si="0"/>
        <v>643320</v>
      </c>
      <c r="F18" s="74">
        <v>8.3000000000000004E-2</v>
      </c>
      <c r="G18" s="7">
        <v>0.49</v>
      </c>
      <c r="H18" s="7">
        <f t="shared" si="1"/>
        <v>4.0670000000000005E-2</v>
      </c>
      <c r="J18" s="4">
        <f t="shared" si="2"/>
        <v>788674.58000000007</v>
      </c>
    </row>
    <row r="19" spans="1:10" x14ac:dyDescent="0.2">
      <c r="A19" t="s">
        <v>123</v>
      </c>
      <c r="B19" s="4">
        <v>2834000</v>
      </c>
      <c r="C19" s="68">
        <v>0.21</v>
      </c>
      <c r="D19" s="27">
        <f t="shared" si="0"/>
        <v>595140</v>
      </c>
      <c r="F19" s="74">
        <v>8.3000000000000004E-2</v>
      </c>
      <c r="G19" s="7">
        <v>0.48</v>
      </c>
      <c r="H19" s="7">
        <f t="shared" si="1"/>
        <v>3.984E-2</v>
      </c>
      <c r="J19" s="4">
        <f t="shared" si="2"/>
        <v>708046.56</v>
      </c>
    </row>
    <row r="20" spans="1:10" x14ac:dyDescent="0.2">
      <c r="A20" t="s">
        <v>124</v>
      </c>
      <c r="B20" s="4">
        <v>5759000</v>
      </c>
      <c r="C20" s="68">
        <v>0.24</v>
      </c>
      <c r="D20" s="27">
        <f t="shared" si="0"/>
        <v>1382160</v>
      </c>
      <c r="F20" s="74">
        <v>8.3000000000000004E-2</v>
      </c>
      <c r="G20" s="7">
        <v>0.46</v>
      </c>
      <c r="H20" s="7">
        <f t="shared" si="1"/>
        <v>3.8180000000000006E-2</v>
      </c>
      <c r="J20" s="4">
        <f t="shared" si="2"/>
        <v>1602038.6199999999</v>
      </c>
    </row>
    <row r="21" spans="1:10" x14ac:dyDescent="0.2">
      <c r="A21" t="s">
        <v>125</v>
      </c>
      <c r="B21" s="4">
        <v>7354000</v>
      </c>
      <c r="C21" s="68">
        <v>0.23</v>
      </c>
      <c r="D21" s="27">
        <f t="shared" si="0"/>
        <v>1691420</v>
      </c>
      <c r="F21" s="74">
        <v>9.4E-2</v>
      </c>
      <c r="G21" s="7">
        <v>0.49</v>
      </c>
      <c r="H21" s="7">
        <f t="shared" si="1"/>
        <v>4.6059999999999997E-2</v>
      </c>
      <c r="J21" s="4">
        <f t="shared" si="2"/>
        <v>2030145.2400000002</v>
      </c>
    </row>
    <row r="22" spans="1:10" x14ac:dyDescent="0.2">
      <c r="A22" t="s">
        <v>0</v>
      </c>
      <c r="B22" s="4">
        <v>2565000</v>
      </c>
      <c r="C22" s="68">
        <v>0.15</v>
      </c>
      <c r="D22" s="27">
        <f t="shared" si="0"/>
        <v>384750</v>
      </c>
      <c r="F22" s="74">
        <v>0.09</v>
      </c>
      <c r="G22" s="7">
        <v>0.49</v>
      </c>
      <c r="H22" s="7">
        <f t="shared" si="1"/>
        <v>4.41E-2</v>
      </c>
      <c r="J22" s="4">
        <f t="shared" si="2"/>
        <v>497866.5</v>
      </c>
    </row>
    <row r="23" spans="1:10" x14ac:dyDescent="0.2">
      <c r="A23" t="s">
        <v>1</v>
      </c>
      <c r="B23" s="4">
        <v>7904000</v>
      </c>
      <c r="C23" s="68">
        <v>0.2</v>
      </c>
      <c r="D23" s="27">
        <f t="shared" si="0"/>
        <v>1580800</v>
      </c>
      <c r="F23" s="74">
        <v>8.2000000000000003E-2</v>
      </c>
      <c r="G23" s="7">
        <v>0.45</v>
      </c>
      <c r="H23" s="7">
        <f t="shared" si="1"/>
        <v>3.6900000000000002E-2</v>
      </c>
      <c r="J23" s="4">
        <f t="shared" si="2"/>
        <v>1872457.6</v>
      </c>
    </row>
    <row r="24" spans="1:10" x14ac:dyDescent="0.2">
      <c r="A24" t="s">
        <v>2</v>
      </c>
      <c r="B24" s="4">
        <v>13326000</v>
      </c>
      <c r="C24" s="68">
        <v>0.12</v>
      </c>
      <c r="D24" s="27">
        <f t="shared" si="0"/>
        <v>1599120</v>
      </c>
      <c r="F24" s="74">
        <v>8.5999999999999993E-2</v>
      </c>
      <c r="G24" s="7">
        <v>0.44</v>
      </c>
      <c r="H24" s="7">
        <f t="shared" si="1"/>
        <v>3.7839999999999999E-2</v>
      </c>
      <c r="J24" s="4">
        <f t="shared" si="2"/>
        <v>2103375.84</v>
      </c>
    </row>
    <row r="25" spans="1:10" x14ac:dyDescent="0.2">
      <c r="A25" t="s">
        <v>3</v>
      </c>
      <c r="B25" s="4">
        <v>12941000</v>
      </c>
      <c r="C25" s="68">
        <v>0.19</v>
      </c>
      <c r="D25" s="27">
        <f t="shared" si="0"/>
        <v>2458790</v>
      </c>
      <c r="F25" s="74">
        <v>8.5000000000000006E-2</v>
      </c>
      <c r="G25" s="7">
        <v>0.45</v>
      </c>
      <c r="H25" s="7">
        <f t="shared" si="1"/>
        <v>3.8250000000000006E-2</v>
      </c>
      <c r="J25" s="4">
        <f t="shared" si="2"/>
        <v>2953783.25</v>
      </c>
    </row>
    <row r="26" spans="1:10" x14ac:dyDescent="0.2">
      <c r="A26" t="s">
        <v>4</v>
      </c>
      <c r="B26" s="4">
        <v>9004000</v>
      </c>
      <c r="C26" s="68">
        <v>0.19</v>
      </c>
      <c r="D26" s="27">
        <f t="shared" si="0"/>
        <v>1710760</v>
      </c>
      <c r="F26" s="74">
        <v>8.8999999999999996E-2</v>
      </c>
      <c r="G26" s="7">
        <v>0.43</v>
      </c>
      <c r="H26" s="7">
        <f t="shared" si="1"/>
        <v>3.8269999999999998E-2</v>
      </c>
      <c r="J26" s="4">
        <f t="shared" si="2"/>
        <v>2055343.08</v>
      </c>
    </row>
    <row r="27" spans="1:10" x14ac:dyDescent="0.2">
      <c r="A27" t="s">
        <v>5</v>
      </c>
      <c r="B27" s="4">
        <v>4618000</v>
      </c>
      <c r="C27" s="68">
        <v>0.24</v>
      </c>
      <c r="D27" s="27">
        <f t="shared" si="0"/>
        <v>1108320</v>
      </c>
      <c r="F27" s="74">
        <v>7.9000000000000001E-2</v>
      </c>
      <c r="G27" s="7">
        <v>0.43</v>
      </c>
      <c r="H27" s="7">
        <f t="shared" si="1"/>
        <v>3.397E-2</v>
      </c>
      <c r="J27" s="4">
        <f t="shared" si="2"/>
        <v>1265193.46</v>
      </c>
    </row>
    <row r="28" spans="1:10" x14ac:dyDescent="0.2">
      <c r="A28" t="s">
        <v>6</v>
      </c>
      <c r="B28" s="4">
        <v>9004000</v>
      </c>
      <c r="C28" s="68">
        <v>0.24</v>
      </c>
      <c r="D28" s="27">
        <f t="shared" si="0"/>
        <v>2160960</v>
      </c>
      <c r="F28" s="74">
        <v>8.2000000000000003E-2</v>
      </c>
      <c r="G28" s="7">
        <v>0.47</v>
      </c>
      <c r="H28" s="7">
        <f t="shared" si="1"/>
        <v>3.8539999999999998E-2</v>
      </c>
      <c r="J28" s="4">
        <f t="shared" si="2"/>
        <v>2507974.16</v>
      </c>
    </row>
    <row r="29" spans="1:10" x14ac:dyDescent="0.2">
      <c r="A29" t="s">
        <v>7</v>
      </c>
      <c r="B29" s="4">
        <v>1031000</v>
      </c>
      <c r="C29" s="68">
        <v>0.24</v>
      </c>
      <c r="D29" s="27">
        <f t="shared" si="0"/>
        <v>247440</v>
      </c>
      <c r="F29" s="74">
        <v>6.6000000000000003E-2</v>
      </c>
      <c r="G29" s="7">
        <v>0.38</v>
      </c>
      <c r="H29" s="7">
        <f t="shared" si="1"/>
        <v>2.5080000000000002E-2</v>
      </c>
      <c r="J29" s="4">
        <f t="shared" si="2"/>
        <v>273297.48</v>
      </c>
    </row>
    <row r="30" spans="1:10" x14ac:dyDescent="0.2">
      <c r="A30" t="s">
        <v>8</v>
      </c>
      <c r="B30" s="4">
        <v>1792000</v>
      </c>
      <c r="C30" s="68">
        <v>0.21</v>
      </c>
      <c r="D30" s="27">
        <f t="shared" si="0"/>
        <v>376320</v>
      </c>
      <c r="F30" s="74">
        <v>8.5000000000000006E-2</v>
      </c>
      <c r="G30" s="7">
        <v>0.44</v>
      </c>
      <c r="H30" s="7">
        <f t="shared" si="1"/>
        <v>3.7400000000000003E-2</v>
      </c>
      <c r="J30" s="4">
        <f t="shared" si="2"/>
        <v>443340.79999999999</v>
      </c>
    </row>
    <row r="31" spans="1:10" x14ac:dyDescent="0.2">
      <c r="A31" t="s">
        <v>92</v>
      </c>
      <c r="B31" s="4">
        <v>1832000</v>
      </c>
      <c r="C31" s="68">
        <v>0.31</v>
      </c>
      <c r="D31" s="27">
        <f t="shared" si="0"/>
        <v>567920</v>
      </c>
      <c r="F31" s="74">
        <v>0.08</v>
      </c>
      <c r="G31" s="7">
        <v>0.41</v>
      </c>
      <c r="H31" s="7">
        <f t="shared" si="1"/>
        <v>3.2799999999999996E-2</v>
      </c>
      <c r="J31" s="4">
        <f t="shared" si="2"/>
        <v>628009.6</v>
      </c>
    </row>
    <row r="32" spans="1:10" x14ac:dyDescent="0.2">
      <c r="A32" t="s">
        <v>9</v>
      </c>
      <c r="B32" s="4">
        <v>1251000</v>
      </c>
      <c r="C32" s="68">
        <v>0.26</v>
      </c>
      <c r="D32" s="27">
        <f t="shared" si="0"/>
        <v>325260</v>
      </c>
      <c r="F32" s="74">
        <v>9.6000000000000002E-2</v>
      </c>
      <c r="G32" s="7">
        <v>0.43</v>
      </c>
      <c r="H32" s="7">
        <f t="shared" si="1"/>
        <v>4.1279999999999997E-2</v>
      </c>
      <c r="J32" s="4">
        <f t="shared" si="2"/>
        <v>376901.27999999997</v>
      </c>
    </row>
    <row r="33" spans="1:10" x14ac:dyDescent="0.2">
      <c r="A33" t="s">
        <v>10</v>
      </c>
      <c r="B33" s="4">
        <v>10971000</v>
      </c>
      <c r="C33" s="68">
        <v>0.18</v>
      </c>
      <c r="D33" s="27">
        <f t="shared" si="0"/>
        <v>1974780</v>
      </c>
      <c r="F33" s="74">
        <v>8.3000000000000004E-2</v>
      </c>
      <c r="G33" s="7">
        <v>0.44</v>
      </c>
      <c r="H33" s="7">
        <f t="shared" si="1"/>
        <v>3.6520000000000004E-2</v>
      </c>
      <c r="J33" s="4">
        <f t="shared" si="2"/>
        <v>2375440.92</v>
      </c>
    </row>
    <row r="34" spans="1:10" x14ac:dyDescent="0.2">
      <c r="A34" t="s">
        <v>11</v>
      </c>
      <c r="B34" s="4">
        <v>3604000</v>
      </c>
      <c r="C34" s="68">
        <v>0.47</v>
      </c>
      <c r="D34" s="27">
        <f t="shared" si="0"/>
        <v>1693880</v>
      </c>
      <c r="F34" s="74">
        <v>7.4999999999999997E-2</v>
      </c>
      <c r="G34" s="7">
        <v>0.31</v>
      </c>
      <c r="H34" s="7">
        <f t="shared" si="1"/>
        <v>2.325E-2</v>
      </c>
      <c r="J34" s="4">
        <f t="shared" si="2"/>
        <v>1777672.9999999998</v>
      </c>
    </row>
    <row r="35" spans="1:10" x14ac:dyDescent="0.2">
      <c r="A35" t="s">
        <v>12</v>
      </c>
      <c r="B35" s="4">
        <v>53074000</v>
      </c>
      <c r="C35" s="68">
        <v>0.11</v>
      </c>
      <c r="D35" s="27">
        <f t="shared" si="0"/>
        <v>5838140</v>
      </c>
      <c r="F35" s="74">
        <v>7.3999999999999996E-2</v>
      </c>
      <c r="G35" s="7">
        <v>0.42</v>
      </c>
      <c r="H35" s="7">
        <f t="shared" si="1"/>
        <v>3.1079999999999997E-2</v>
      </c>
      <c r="J35" s="4">
        <f t="shared" si="2"/>
        <v>7487679.919999999</v>
      </c>
    </row>
    <row r="36" spans="1:10" x14ac:dyDescent="0.2">
      <c r="A36" t="s">
        <v>13</v>
      </c>
      <c r="B36" s="4">
        <v>12876000</v>
      </c>
      <c r="C36" s="68">
        <v>0.24</v>
      </c>
      <c r="D36" s="27">
        <f t="shared" ref="D36:D53" si="3">+B36*C36</f>
        <v>3090240</v>
      </c>
      <c r="F36" s="74">
        <v>0.08</v>
      </c>
      <c r="G36" s="7">
        <v>0.45</v>
      </c>
      <c r="H36" s="7">
        <f t="shared" si="1"/>
        <v>3.6000000000000004E-2</v>
      </c>
      <c r="J36" s="4">
        <f t="shared" si="2"/>
        <v>3553776.0000000005</v>
      </c>
    </row>
    <row r="37" spans="1:10" x14ac:dyDescent="0.2">
      <c r="A37" t="s">
        <v>14</v>
      </c>
      <c r="B37" s="4">
        <v>788000</v>
      </c>
      <c r="C37" s="68">
        <v>0.16</v>
      </c>
      <c r="D37" s="27">
        <f t="shared" si="3"/>
        <v>126080</v>
      </c>
      <c r="F37" s="74">
        <v>7.2999999999999995E-2</v>
      </c>
      <c r="G37" s="7">
        <v>0.43</v>
      </c>
      <c r="H37" s="7">
        <f t="shared" si="1"/>
        <v>3.1389999999999994E-2</v>
      </c>
      <c r="J37" s="4">
        <f t="shared" si="2"/>
        <v>150815.32</v>
      </c>
    </row>
    <row r="38" spans="1:10" x14ac:dyDescent="0.2">
      <c r="A38" t="s">
        <v>15</v>
      </c>
      <c r="B38" s="4">
        <v>16826000</v>
      </c>
      <c r="C38" s="68">
        <v>0.15</v>
      </c>
      <c r="D38" s="27">
        <f t="shared" si="3"/>
        <v>2523900</v>
      </c>
      <c r="F38" s="74">
        <v>8.4000000000000005E-2</v>
      </c>
      <c r="G38" s="7">
        <v>0.46</v>
      </c>
      <c r="H38" s="7">
        <f t="shared" si="1"/>
        <v>3.8640000000000001E-2</v>
      </c>
      <c r="J38" s="4">
        <f t="shared" si="2"/>
        <v>3174056.64</v>
      </c>
    </row>
    <row r="39" spans="1:10" x14ac:dyDescent="0.2">
      <c r="A39" t="s">
        <v>16</v>
      </c>
      <c r="B39" s="4">
        <v>4644000</v>
      </c>
      <c r="C39" s="68">
        <v>0.3</v>
      </c>
      <c r="D39" s="27">
        <f t="shared" si="3"/>
        <v>1393200</v>
      </c>
      <c r="F39" s="74">
        <v>8.1000000000000003E-2</v>
      </c>
      <c r="G39" s="7">
        <v>0.41</v>
      </c>
      <c r="H39" s="7">
        <f t="shared" si="1"/>
        <v>3.3209999999999996E-2</v>
      </c>
      <c r="J39" s="4">
        <f t="shared" si="2"/>
        <v>1547427.24</v>
      </c>
    </row>
    <row r="40" spans="1:10" x14ac:dyDescent="0.2">
      <c r="A40" t="s">
        <v>17</v>
      </c>
      <c r="B40" s="4">
        <v>4922000</v>
      </c>
      <c r="C40" s="68">
        <v>0.17</v>
      </c>
      <c r="D40" s="27">
        <f t="shared" si="3"/>
        <v>836740.00000000012</v>
      </c>
      <c r="F40" s="74">
        <v>7.1999999999999995E-2</v>
      </c>
      <c r="G40" s="7">
        <v>0.36</v>
      </c>
      <c r="H40" s="7">
        <f t="shared" si="1"/>
        <v>2.5919999999999999E-2</v>
      </c>
      <c r="J40" s="4">
        <f t="shared" si="2"/>
        <v>964318.24000000011</v>
      </c>
    </row>
    <row r="41" spans="1:10" x14ac:dyDescent="0.2">
      <c r="A41" t="s">
        <v>18</v>
      </c>
      <c r="B41" s="4">
        <v>21150000</v>
      </c>
      <c r="C41" s="68">
        <v>0.18</v>
      </c>
      <c r="D41" s="27">
        <f t="shared" si="3"/>
        <v>3807000</v>
      </c>
      <c r="F41" s="74">
        <v>8.3000000000000004E-2</v>
      </c>
      <c r="G41" s="7">
        <v>0.5</v>
      </c>
      <c r="H41" s="7">
        <f t="shared" si="1"/>
        <v>4.1500000000000002E-2</v>
      </c>
      <c r="J41" s="4">
        <f t="shared" si="2"/>
        <v>4684725</v>
      </c>
    </row>
    <row r="42" spans="1:10" x14ac:dyDescent="0.2">
      <c r="A42" t="s">
        <v>19</v>
      </c>
      <c r="B42" s="4">
        <v>1944000</v>
      </c>
      <c r="C42" s="68">
        <v>0.22</v>
      </c>
      <c r="D42" s="27">
        <f t="shared" si="3"/>
        <v>427680</v>
      </c>
      <c r="F42" s="74">
        <v>6.2E-2</v>
      </c>
      <c r="G42" s="7">
        <v>0.45</v>
      </c>
      <c r="H42" s="7">
        <f t="shared" si="1"/>
        <v>2.7900000000000001E-2</v>
      </c>
      <c r="J42" s="4">
        <f t="shared" si="2"/>
        <v>481917.60000000003</v>
      </c>
    </row>
    <row r="43" spans="1:10" x14ac:dyDescent="0.2">
      <c r="A43" t="s">
        <v>20</v>
      </c>
      <c r="B43" s="4">
        <v>4815000</v>
      </c>
      <c r="C43" s="68">
        <v>0.22</v>
      </c>
      <c r="D43" s="27">
        <f t="shared" si="3"/>
        <v>1059300</v>
      </c>
      <c r="F43" s="74">
        <v>6.7000000000000004E-2</v>
      </c>
      <c r="G43" s="7">
        <v>0.42</v>
      </c>
      <c r="H43" s="7">
        <f t="shared" si="1"/>
        <v>2.8140000000000002E-2</v>
      </c>
      <c r="J43" s="4">
        <f t="shared" si="2"/>
        <v>1194794.1000000001</v>
      </c>
    </row>
    <row r="44" spans="1:10" x14ac:dyDescent="0.2">
      <c r="A44" t="s">
        <v>21</v>
      </c>
      <c r="B44" s="4">
        <v>786000</v>
      </c>
      <c r="C44" s="68">
        <v>0.27</v>
      </c>
      <c r="D44" s="27">
        <f t="shared" si="3"/>
        <v>212220</v>
      </c>
      <c r="F44" s="74">
        <v>7.4999999999999997E-2</v>
      </c>
      <c r="G44" s="7">
        <v>0.41</v>
      </c>
      <c r="H44" s="7">
        <f t="shared" si="1"/>
        <v>3.0749999999999996E-2</v>
      </c>
      <c r="J44" s="4">
        <f t="shared" si="2"/>
        <v>236389.5</v>
      </c>
    </row>
    <row r="45" spans="1:10" x14ac:dyDescent="0.2">
      <c r="A45" t="s">
        <v>22</v>
      </c>
      <c r="B45" s="4">
        <v>9250000</v>
      </c>
      <c r="C45" s="68">
        <v>0.25</v>
      </c>
      <c r="D45" s="27">
        <f t="shared" si="3"/>
        <v>2312500</v>
      </c>
      <c r="F45" s="74">
        <v>7.0999999999999994E-2</v>
      </c>
      <c r="G45" s="7">
        <v>0.4</v>
      </c>
      <c r="H45" s="7">
        <f t="shared" si="1"/>
        <v>2.8399999999999998E-2</v>
      </c>
      <c r="J45" s="4">
        <f t="shared" si="2"/>
        <v>2575200</v>
      </c>
    </row>
    <row r="46" spans="1:10" x14ac:dyDescent="0.2">
      <c r="A46" t="s">
        <v>23</v>
      </c>
      <c r="B46" s="4">
        <v>28934000</v>
      </c>
      <c r="C46" s="68">
        <v>0.37</v>
      </c>
      <c r="D46" s="27">
        <f t="shared" si="3"/>
        <v>10705580</v>
      </c>
      <c r="F46" s="74">
        <v>0.10100000000000001</v>
      </c>
      <c r="G46" s="7">
        <v>0.38</v>
      </c>
      <c r="H46" s="7">
        <f t="shared" si="1"/>
        <v>3.8380000000000004E-2</v>
      </c>
      <c r="J46" s="4">
        <f t="shared" si="2"/>
        <v>11816066.92</v>
      </c>
    </row>
    <row r="47" spans="1:10" x14ac:dyDescent="0.2">
      <c r="A47" t="s">
        <v>24</v>
      </c>
      <c r="B47" s="4">
        <v>2003000</v>
      </c>
      <c r="C47" s="68">
        <v>0.27</v>
      </c>
      <c r="D47" s="27">
        <f t="shared" si="3"/>
        <v>540810</v>
      </c>
      <c r="F47" s="74">
        <v>0.11</v>
      </c>
      <c r="G47" s="7">
        <v>0.47</v>
      </c>
      <c r="H47" s="7">
        <f t="shared" si="1"/>
        <v>5.1699999999999996E-2</v>
      </c>
      <c r="J47" s="4">
        <f t="shared" si="2"/>
        <v>644365.1</v>
      </c>
    </row>
    <row r="48" spans="1:10" x14ac:dyDescent="0.2">
      <c r="A48" t="s">
        <v>25</v>
      </c>
      <c r="B48" s="4">
        <v>1362000</v>
      </c>
      <c r="C48" s="68">
        <v>0.28000000000000003</v>
      </c>
      <c r="D48" s="27">
        <f t="shared" si="3"/>
        <v>381360.00000000006</v>
      </c>
      <c r="F48" s="74">
        <v>8.2000000000000003E-2</v>
      </c>
      <c r="G48" s="7">
        <v>0.31</v>
      </c>
      <c r="H48" s="7">
        <f t="shared" si="1"/>
        <v>2.5420000000000002E-2</v>
      </c>
      <c r="J48" s="4">
        <f t="shared" si="2"/>
        <v>415982.04000000004</v>
      </c>
    </row>
    <row r="49" spans="1:10" x14ac:dyDescent="0.2">
      <c r="A49" t="s">
        <v>26</v>
      </c>
      <c r="B49" s="4">
        <v>7089000</v>
      </c>
      <c r="C49" s="68">
        <v>0.24</v>
      </c>
      <c r="D49" s="27">
        <f t="shared" si="3"/>
        <v>1701360</v>
      </c>
      <c r="F49" s="74">
        <v>7.6999999999999999E-2</v>
      </c>
      <c r="G49" s="7">
        <v>0.45</v>
      </c>
      <c r="H49" s="7">
        <f t="shared" si="1"/>
        <v>3.465E-2</v>
      </c>
      <c r="J49" s="4">
        <f t="shared" si="2"/>
        <v>1946993.85</v>
      </c>
    </row>
    <row r="50" spans="1:10" x14ac:dyDescent="0.2">
      <c r="A50" t="s">
        <v>27</v>
      </c>
      <c r="B50" s="4">
        <v>8120000</v>
      </c>
      <c r="C50" s="68">
        <v>0.24</v>
      </c>
      <c r="D50" s="27">
        <f t="shared" si="3"/>
        <v>1948800</v>
      </c>
      <c r="F50" s="74">
        <v>7.0999999999999994E-2</v>
      </c>
      <c r="G50" s="7">
        <v>0.43</v>
      </c>
      <c r="H50" s="7">
        <f t="shared" si="1"/>
        <v>3.0529999999999998E-2</v>
      </c>
      <c r="J50" s="4">
        <f t="shared" si="2"/>
        <v>2196703.6</v>
      </c>
    </row>
    <row r="51" spans="1:10" x14ac:dyDescent="0.2">
      <c r="A51" t="s">
        <v>28</v>
      </c>
      <c r="B51" s="4">
        <v>2931000</v>
      </c>
      <c r="C51" s="68">
        <v>0.19</v>
      </c>
      <c r="D51" s="27">
        <f t="shared" si="3"/>
        <v>556890</v>
      </c>
      <c r="F51" s="74">
        <v>6.2E-2</v>
      </c>
      <c r="G51" s="7">
        <v>0.49</v>
      </c>
      <c r="H51" s="7">
        <f t="shared" si="1"/>
        <v>3.0380000000000001E-2</v>
      </c>
      <c r="J51" s="4">
        <f t="shared" si="2"/>
        <v>645933.78</v>
      </c>
    </row>
    <row r="52" spans="1:10" x14ac:dyDescent="0.2">
      <c r="A52" t="s">
        <v>29</v>
      </c>
      <c r="B52" s="4">
        <v>7464000</v>
      </c>
      <c r="C52" s="68">
        <v>0.12</v>
      </c>
      <c r="D52" s="27">
        <f t="shared" si="3"/>
        <v>895680</v>
      </c>
      <c r="F52" s="74">
        <v>8.3000000000000004E-2</v>
      </c>
      <c r="G52" s="7">
        <v>0.39</v>
      </c>
      <c r="H52" s="7">
        <f t="shared" si="1"/>
        <v>3.2370000000000003E-2</v>
      </c>
      <c r="J52" s="4">
        <f t="shared" si="2"/>
        <v>1137289.68</v>
      </c>
    </row>
    <row r="53" spans="1:10" x14ac:dyDescent="0.2">
      <c r="A53" t="s">
        <v>30</v>
      </c>
      <c r="B53" s="4">
        <v>566000</v>
      </c>
      <c r="C53" s="68">
        <v>0.21</v>
      </c>
      <c r="D53" s="27">
        <f t="shared" si="3"/>
        <v>118860</v>
      </c>
      <c r="F53" s="74">
        <v>7.6999999999999999E-2</v>
      </c>
      <c r="G53" s="7">
        <v>0.47</v>
      </c>
      <c r="H53" s="7">
        <f t="shared" si="1"/>
        <v>3.619E-2</v>
      </c>
      <c r="J53" s="4">
        <f t="shared" si="2"/>
        <v>139343.54</v>
      </c>
    </row>
    <row r="55" spans="1:10" x14ac:dyDescent="0.2">
      <c r="A55" t="s">
        <v>39</v>
      </c>
      <c r="B55" s="4">
        <f>SUM(B4:B53)</f>
        <v>426892000</v>
      </c>
      <c r="C55" s="68">
        <v>0.21</v>
      </c>
      <c r="D55" s="27">
        <f>SUM(D4:D53)</f>
        <v>89270990</v>
      </c>
    </row>
  </sheetData>
  <phoneticPr fontId="8" type="noConversion"/>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tabColor rgb="FF00B0F0"/>
  </sheetPr>
  <dimension ref="A1:E59"/>
  <sheetViews>
    <sheetView workbookViewId="0">
      <selection activeCell="E4" sqref="E4"/>
    </sheetView>
  </sheetViews>
  <sheetFormatPr baseColWidth="10" defaultColWidth="8.83203125" defaultRowHeight="15" x14ac:dyDescent="0.2"/>
  <cols>
    <col min="1" max="1" width="20" customWidth="1"/>
    <col min="2" max="2" width="18.1640625" customWidth="1"/>
    <col min="3" max="3" width="14.33203125" customWidth="1"/>
    <col min="4" max="4" width="16.1640625" customWidth="1"/>
    <col min="5" max="5" width="14.5" customWidth="1"/>
  </cols>
  <sheetData>
    <row r="1" spans="1:5" x14ac:dyDescent="0.2">
      <c r="A1" t="s">
        <v>102</v>
      </c>
    </row>
    <row r="2" spans="1:5" x14ac:dyDescent="0.2">
      <c r="A2" s="2" t="s">
        <v>104</v>
      </c>
    </row>
    <row r="3" spans="1:5" ht="16" x14ac:dyDescent="0.2">
      <c r="A3" s="3"/>
      <c r="B3" s="34" t="s">
        <v>39</v>
      </c>
      <c r="C3" s="34" t="s">
        <v>178</v>
      </c>
      <c r="D3" s="34" t="s">
        <v>107</v>
      </c>
      <c r="E3" s="34" t="s">
        <v>130</v>
      </c>
    </row>
    <row r="4" spans="1:5" x14ac:dyDescent="0.2">
      <c r="A4" t="s">
        <v>109</v>
      </c>
      <c r="B4">
        <v>200.8</v>
      </c>
      <c r="C4">
        <v>156.69999999999999</v>
      </c>
      <c r="D4">
        <v>44.1</v>
      </c>
      <c r="E4" s="4">
        <f>+B4*1000</f>
        <v>200800</v>
      </c>
    </row>
    <row r="5" spans="1:5" x14ac:dyDescent="0.2">
      <c r="A5" t="s">
        <v>110</v>
      </c>
      <c r="B5">
        <v>30.4</v>
      </c>
      <c r="C5">
        <v>19.8</v>
      </c>
      <c r="D5">
        <v>10.6</v>
      </c>
      <c r="E5" s="4">
        <f t="shared" ref="E5:E54" si="0">+B5*1000</f>
        <v>30400</v>
      </c>
    </row>
    <row r="6" spans="1:5" x14ac:dyDescent="0.2">
      <c r="A6" t="s">
        <v>111</v>
      </c>
      <c r="B6">
        <v>31.6</v>
      </c>
      <c r="C6">
        <v>24.4</v>
      </c>
      <c r="D6">
        <v>7.2</v>
      </c>
      <c r="E6" s="4">
        <f t="shared" si="0"/>
        <v>31600</v>
      </c>
    </row>
    <row r="7" spans="1:5" x14ac:dyDescent="0.2">
      <c r="A7" t="s">
        <v>112</v>
      </c>
      <c r="B7" s="33">
        <v>124.8</v>
      </c>
      <c r="C7">
        <v>99.2</v>
      </c>
      <c r="D7">
        <v>25.6</v>
      </c>
      <c r="E7" s="4">
        <f t="shared" si="0"/>
        <v>124800</v>
      </c>
    </row>
    <row r="8" spans="1:5" x14ac:dyDescent="0.2">
      <c r="A8" t="s">
        <v>113</v>
      </c>
      <c r="B8" s="33">
        <v>1918.3</v>
      </c>
      <c r="C8" s="33">
        <v>1246.8</v>
      </c>
      <c r="D8">
        <v>671.5</v>
      </c>
      <c r="E8" s="4">
        <f t="shared" si="0"/>
        <v>1918300</v>
      </c>
    </row>
    <row r="9" spans="1:5" x14ac:dyDescent="0.2">
      <c r="A9" t="s">
        <v>115</v>
      </c>
      <c r="B9">
        <v>194.2</v>
      </c>
      <c r="C9">
        <v>126.3</v>
      </c>
      <c r="D9">
        <v>68</v>
      </c>
      <c r="E9" s="4">
        <f t="shared" si="0"/>
        <v>194200</v>
      </c>
    </row>
    <row r="10" spans="1:5" x14ac:dyDescent="0.2">
      <c r="A10" t="s">
        <v>114</v>
      </c>
      <c r="B10">
        <v>25.4</v>
      </c>
      <c r="C10">
        <v>39.799999999999997</v>
      </c>
      <c r="D10">
        <v>-14.4</v>
      </c>
      <c r="E10" s="4">
        <f t="shared" si="0"/>
        <v>25400</v>
      </c>
    </row>
    <row r="11" spans="1:5" x14ac:dyDescent="0.2">
      <c r="A11" t="s">
        <v>42</v>
      </c>
      <c r="B11">
        <v>22.3</v>
      </c>
      <c r="C11">
        <v>15.1</v>
      </c>
      <c r="D11">
        <v>7.1</v>
      </c>
      <c r="E11" s="4">
        <f t="shared" si="0"/>
        <v>22300</v>
      </c>
    </row>
    <row r="12" spans="1:5" x14ac:dyDescent="0.2">
      <c r="A12" t="s">
        <v>116</v>
      </c>
      <c r="B12">
        <v>499.1</v>
      </c>
      <c r="C12">
        <v>345.4</v>
      </c>
      <c r="D12">
        <v>153.69999999999999</v>
      </c>
      <c r="E12" s="4">
        <f t="shared" si="0"/>
        <v>499100</v>
      </c>
    </row>
    <row r="13" spans="1:5" x14ac:dyDescent="0.2">
      <c r="A13" t="s">
        <v>117</v>
      </c>
      <c r="B13">
        <v>355.8</v>
      </c>
      <c r="C13">
        <v>271.60000000000002</v>
      </c>
      <c r="D13">
        <v>84.2</v>
      </c>
      <c r="E13" s="4">
        <f t="shared" si="0"/>
        <v>355800</v>
      </c>
    </row>
    <row r="14" spans="1:5" x14ac:dyDescent="0.2">
      <c r="A14" t="s">
        <v>118</v>
      </c>
      <c r="B14">
        <v>38.5</v>
      </c>
      <c r="C14">
        <v>24.8</v>
      </c>
      <c r="D14">
        <v>13.8</v>
      </c>
      <c r="E14" s="4">
        <f t="shared" si="0"/>
        <v>38500</v>
      </c>
    </row>
    <row r="15" spans="1:5" x14ac:dyDescent="0.2">
      <c r="A15" t="s">
        <v>119</v>
      </c>
      <c r="B15">
        <v>43.7</v>
      </c>
      <c r="C15">
        <v>34.6</v>
      </c>
      <c r="D15">
        <v>9.1</v>
      </c>
      <c r="E15" s="4">
        <f t="shared" si="0"/>
        <v>43700</v>
      </c>
    </row>
    <row r="16" spans="1:5" x14ac:dyDescent="0.2">
      <c r="A16" t="s">
        <v>120</v>
      </c>
      <c r="B16">
        <v>407.6</v>
      </c>
      <c r="C16">
        <v>265.10000000000002</v>
      </c>
      <c r="D16">
        <v>142.5</v>
      </c>
      <c r="E16" s="4">
        <f t="shared" si="0"/>
        <v>407600</v>
      </c>
    </row>
    <row r="17" spans="1:5" x14ac:dyDescent="0.2">
      <c r="A17" t="s">
        <v>121</v>
      </c>
      <c r="B17">
        <v>181.3</v>
      </c>
      <c r="C17">
        <v>139.4</v>
      </c>
      <c r="D17">
        <v>41.9</v>
      </c>
      <c r="E17" s="4">
        <f t="shared" si="0"/>
        <v>181300</v>
      </c>
    </row>
    <row r="18" spans="1:5" x14ac:dyDescent="0.2">
      <c r="A18" t="s">
        <v>122</v>
      </c>
      <c r="B18">
        <v>122.7</v>
      </c>
      <c r="C18">
        <v>89</v>
      </c>
      <c r="D18">
        <v>33.799999999999997</v>
      </c>
      <c r="E18" s="4">
        <f t="shared" si="0"/>
        <v>122700</v>
      </c>
    </row>
    <row r="19" spans="1:5" x14ac:dyDescent="0.2">
      <c r="A19" t="s">
        <v>123</v>
      </c>
      <c r="B19">
        <v>76.3</v>
      </c>
      <c r="C19">
        <v>53.3</v>
      </c>
      <c r="D19">
        <v>23</v>
      </c>
      <c r="E19" s="4">
        <f t="shared" si="0"/>
        <v>76300</v>
      </c>
    </row>
    <row r="20" spans="1:5" x14ac:dyDescent="0.2">
      <c r="A20" t="s">
        <v>124</v>
      </c>
      <c r="B20">
        <v>178.2</v>
      </c>
      <c r="C20">
        <v>142.30000000000001</v>
      </c>
      <c r="D20">
        <v>35.9</v>
      </c>
      <c r="E20" s="4">
        <f t="shared" si="0"/>
        <v>178200</v>
      </c>
    </row>
    <row r="21" spans="1:5" x14ac:dyDescent="0.2">
      <c r="A21" t="s">
        <v>125</v>
      </c>
      <c r="B21">
        <v>226.9</v>
      </c>
      <c r="C21">
        <v>165.1</v>
      </c>
      <c r="D21">
        <v>61.8</v>
      </c>
      <c r="E21" s="4">
        <f t="shared" si="0"/>
        <v>226900</v>
      </c>
    </row>
    <row r="22" spans="1:5" x14ac:dyDescent="0.2">
      <c r="A22" t="s">
        <v>0</v>
      </c>
      <c r="B22">
        <v>40.700000000000003</v>
      </c>
      <c r="C22">
        <v>30.3</v>
      </c>
      <c r="D22">
        <v>10.4</v>
      </c>
      <c r="E22" s="4">
        <f t="shared" si="0"/>
        <v>40700</v>
      </c>
    </row>
    <row r="23" spans="1:5" x14ac:dyDescent="0.2">
      <c r="A23" t="s">
        <v>1</v>
      </c>
      <c r="B23">
        <v>237.5</v>
      </c>
      <c r="C23">
        <v>154.4</v>
      </c>
      <c r="D23">
        <v>83.1</v>
      </c>
      <c r="E23" s="4">
        <f t="shared" si="0"/>
        <v>237500</v>
      </c>
    </row>
    <row r="24" spans="1:5" x14ac:dyDescent="0.2">
      <c r="A24" t="s">
        <v>2</v>
      </c>
      <c r="B24">
        <v>489.7</v>
      </c>
      <c r="C24">
        <v>318.3</v>
      </c>
      <c r="D24">
        <v>171.4</v>
      </c>
      <c r="E24" s="4">
        <f t="shared" si="0"/>
        <v>489700</v>
      </c>
    </row>
    <row r="25" spans="1:5" x14ac:dyDescent="0.2">
      <c r="A25" t="s">
        <v>3</v>
      </c>
      <c r="B25">
        <v>66.2</v>
      </c>
      <c r="C25">
        <v>52.7</v>
      </c>
      <c r="D25">
        <v>13.5</v>
      </c>
      <c r="E25" s="4">
        <f t="shared" si="0"/>
        <v>66200</v>
      </c>
    </row>
    <row r="26" spans="1:5" x14ac:dyDescent="0.2">
      <c r="A26" t="s">
        <v>4</v>
      </c>
      <c r="B26">
        <v>19.600000000000001</v>
      </c>
      <c r="C26">
        <v>30.9</v>
      </c>
      <c r="D26">
        <v>-11.2</v>
      </c>
      <c r="E26" s="4">
        <f t="shared" si="0"/>
        <v>19600</v>
      </c>
    </row>
    <row r="27" spans="1:5" x14ac:dyDescent="0.2">
      <c r="A27" t="s">
        <v>5</v>
      </c>
      <c r="B27">
        <v>207.6</v>
      </c>
      <c r="C27">
        <v>170.2</v>
      </c>
      <c r="D27">
        <v>37.4</v>
      </c>
      <c r="E27" s="4">
        <f t="shared" si="0"/>
        <v>207600</v>
      </c>
    </row>
    <row r="28" spans="1:5" x14ac:dyDescent="0.2">
      <c r="A28" t="s">
        <v>6</v>
      </c>
      <c r="B28">
        <v>158.9</v>
      </c>
      <c r="C28">
        <v>118.3</v>
      </c>
      <c r="D28">
        <v>40.700000000000003</v>
      </c>
      <c r="E28" s="4">
        <f t="shared" si="0"/>
        <v>158900</v>
      </c>
    </row>
    <row r="29" spans="1:5" x14ac:dyDescent="0.2">
      <c r="A29" t="s">
        <v>7</v>
      </c>
      <c r="B29">
        <v>74.900000000000006</v>
      </c>
      <c r="C29">
        <v>57.1</v>
      </c>
      <c r="D29">
        <v>17.8</v>
      </c>
      <c r="E29" s="4">
        <f t="shared" si="0"/>
        <v>74900</v>
      </c>
    </row>
    <row r="30" spans="1:5" x14ac:dyDescent="0.2">
      <c r="A30" t="s">
        <v>8</v>
      </c>
      <c r="B30">
        <v>58.5</v>
      </c>
      <c r="C30">
        <v>40.799999999999997</v>
      </c>
      <c r="D30">
        <v>17.8</v>
      </c>
      <c r="E30" s="4">
        <f t="shared" si="0"/>
        <v>58500</v>
      </c>
    </row>
    <row r="31" spans="1:5" x14ac:dyDescent="0.2">
      <c r="A31" t="s">
        <v>92</v>
      </c>
      <c r="B31">
        <v>43.9</v>
      </c>
      <c r="C31">
        <v>30.3</v>
      </c>
      <c r="D31">
        <v>13.6</v>
      </c>
      <c r="E31" s="4">
        <f t="shared" si="0"/>
        <v>43900</v>
      </c>
    </row>
    <row r="32" spans="1:5" x14ac:dyDescent="0.2">
      <c r="A32" t="s">
        <v>9</v>
      </c>
      <c r="B32">
        <v>20.100000000000001</v>
      </c>
      <c r="C32">
        <v>17.5</v>
      </c>
      <c r="D32">
        <v>2.6</v>
      </c>
      <c r="E32" s="4">
        <f t="shared" si="0"/>
        <v>20100</v>
      </c>
    </row>
    <row r="33" spans="1:5" x14ac:dyDescent="0.2">
      <c r="A33" t="s">
        <v>10</v>
      </c>
      <c r="B33">
        <v>947.2</v>
      </c>
      <c r="C33">
        <v>615.9</v>
      </c>
      <c r="D33">
        <v>331.3</v>
      </c>
      <c r="E33" s="4">
        <f t="shared" si="0"/>
        <v>947200</v>
      </c>
    </row>
    <row r="34" spans="1:5" x14ac:dyDescent="0.2">
      <c r="A34" t="s">
        <v>11</v>
      </c>
      <c r="B34">
        <v>151.6</v>
      </c>
      <c r="C34">
        <v>119.1</v>
      </c>
      <c r="D34">
        <v>32.5</v>
      </c>
      <c r="E34" s="4">
        <f t="shared" si="0"/>
        <v>151600</v>
      </c>
    </row>
    <row r="35" spans="1:5" x14ac:dyDescent="0.2">
      <c r="A35" t="s">
        <v>12</v>
      </c>
      <c r="B35">
        <v>858</v>
      </c>
      <c r="C35">
        <v>557.79999999999995</v>
      </c>
      <c r="D35">
        <v>300.2</v>
      </c>
      <c r="E35" s="4">
        <f t="shared" si="0"/>
        <v>858000</v>
      </c>
    </row>
    <row r="36" spans="1:5" x14ac:dyDescent="0.2">
      <c r="A36" t="s">
        <v>13</v>
      </c>
      <c r="B36">
        <v>385.7</v>
      </c>
      <c r="C36">
        <v>292</v>
      </c>
      <c r="D36">
        <v>93.7</v>
      </c>
      <c r="E36" s="4">
        <f t="shared" si="0"/>
        <v>385700</v>
      </c>
    </row>
    <row r="37" spans="1:5" x14ac:dyDescent="0.2">
      <c r="A37" t="s">
        <v>14</v>
      </c>
      <c r="B37">
        <v>24</v>
      </c>
      <c r="C37">
        <v>16.5</v>
      </c>
      <c r="D37">
        <v>7.5</v>
      </c>
      <c r="E37" s="4">
        <f t="shared" si="0"/>
        <v>24000</v>
      </c>
    </row>
    <row r="38" spans="1:5" x14ac:dyDescent="0.2">
      <c r="A38" t="s">
        <v>15</v>
      </c>
      <c r="B38">
        <v>431.7</v>
      </c>
      <c r="C38">
        <v>323.3</v>
      </c>
      <c r="D38">
        <v>108.4</v>
      </c>
      <c r="E38" s="4">
        <f t="shared" si="0"/>
        <v>431700</v>
      </c>
    </row>
    <row r="39" spans="1:5" x14ac:dyDescent="0.2">
      <c r="A39" t="s">
        <v>16</v>
      </c>
      <c r="B39">
        <v>146.1</v>
      </c>
      <c r="C39">
        <v>109.2</v>
      </c>
      <c r="D39">
        <v>36.9</v>
      </c>
      <c r="E39" s="4">
        <f t="shared" si="0"/>
        <v>146100</v>
      </c>
    </row>
    <row r="40" spans="1:5" x14ac:dyDescent="0.2">
      <c r="A40" t="s">
        <v>17</v>
      </c>
      <c r="B40">
        <v>187</v>
      </c>
      <c r="C40">
        <v>138.4</v>
      </c>
      <c r="D40">
        <v>48.5</v>
      </c>
      <c r="E40" s="4">
        <f t="shared" si="0"/>
        <v>187000</v>
      </c>
    </row>
    <row r="41" spans="1:5" x14ac:dyDescent="0.2">
      <c r="A41" t="s">
        <v>18</v>
      </c>
      <c r="B41">
        <v>429</v>
      </c>
      <c r="C41">
        <v>294.10000000000002</v>
      </c>
      <c r="D41">
        <v>134.9</v>
      </c>
      <c r="E41" s="4">
        <f t="shared" si="0"/>
        <v>429000</v>
      </c>
    </row>
    <row r="42" spans="1:5" x14ac:dyDescent="0.2">
      <c r="A42" t="s">
        <v>19</v>
      </c>
      <c r="B42">
        <v>57.2</v>
      </c>
      <c r="C42">
        <v>38</v>
      </c>
      <c r="D42">
        <v>19.100000000000001</v>
      </c>
      <c r="E42" s="4">
        <f t="shared" si="0"/>
        <v>57200</v>
      </c>
    </row>
    <row r="43" spans="1:5" x14ac:dyDescent="0.2">
      <c r="A43" t="s">
        <v>20</v>
      </c>
      <c r="B43">
        <v>119.2</v>
      </c>
      <c r="C43">
        <v>94.4</v>
      </c>
      <c r="D43">
        <v>24.8</v>
      </c>
      <c r="E43" s="4">
        <f t="shared" si="0"/>
        <v>119200</v>
      </c>
    </row>
    <row r="44" spans="1:5" x14ac:dyDescent="0.2">
      <c r="A44" t="s">
        <v>21</v>
      </c>
      <c r="B44">
        <v>26.2</v>
      </c>
      <c r="C44">
        <v>18.7</v>
      </c>
      <c r="D44">
        <v>7.5</v>
      </c>
      <c r="E44" s="4">
        <f t="shared" si="0"/>
        <v>26200</v>
      </c>
    </row>
    <row r="45" spans="1:5" x14ac:dyDescent="0.2">
      <c r="A45" t="s">
        <v>22</v>
      </c>
      <c r="B45">
        <v>252</v>
      </c>
      <c r="C45">
        <v>192.6</v>
      </c>
      <c r="D45">
        <v>59.3</v>
      </c>
      <c r="E45" s="4">
        <f t="shared" si="0"/>
        <v>252000</v>
      </c>
    </row>
    <row r="46" spans="1:5" x14ac:dyDescent="0.2">
      <c r="A46" t="s">
        <v>23</v>
      </c>
      <c r="B46" s="33">
        <v>1200.7</v>
      </c>
      <c r="C46">
        <v>849.1</v>
      </c>
      <c r="D46">
        <v>351.6</v>
      </c>
      <c r="E46" s="4">
        <f t="shared" si="0"/>
        <v>1200700</v>
      </c>
    </row>
    <row r="47" spans="1:5" x14ac:dyDescent="0.2">
      <c r="A47" t="s">
        <v>24</v>
      </c>
      <c r="B47">
        <v>74.8</v>
      </c>
      <c r="C47">
        <v>59.6</v>
      </c>
      <c r="D47">
        <v>15.2</v>
      </c>
      <c r="E47" s="4">
        <f t="shared" si="0"/>
        <v>74800</v>
      </c>
    </row>
    <row r="48" spans="1:5" x14ac:dyDescent="0.2">
      <c r="A48" t="s">
        <v>25</v>
      </c>
      <c r="B48">
        <v>9.1999999999999993</v>
      </c>
      <c r="C48">
        <v>12.5</v>
      </c>
      <c r="D48">
        <v>-3.4</v>
      </c>
      <c r="E48" s="4">
        <f t="shared" si="0"/>
        <v>9200</v>
      </c>
    </row>
    <row r="49" spans="1:5" x14ac:dyDescent="0.2">
      <c r="A49" t="s">
        <v>26</v>
      </c>
      <c r="B49">
        <v>276</v>
      </c>
      <c r="C49">
        <v>179.4</v>
      </c>
      <c r="D49">
        <v>96.6</v>
      </c>
      <c r="E49" s="4">
        <f t="shared" si="0"/>
        <v>276000</v>
      </c>
    </row>
    <row r="50" spans="1:5" x14ac:dyDescent="0.2">
      <c r="A50" t="s">
        <v>27</v>
      </c>
      <c r="B50">
        <v>71.7</v>
      </c>
      <c r="C50">
        <v>93</v>
      </c>
      <c r="D50">
        <v>-21.3</v>
      </c>
      <c r="E50" s="4">
        <f t="shared" si="0"/>
        <v>71700</v>
      </c>
    </row>
    <row r="51" spans="1:5" x14ac:dyDescent="0.2">
      <c r="A51" t="s">
        <v>28</v>
      </c>
      <c r="B51">
        <v>57.5</v>
      </c>
      <c r="C51">
        <v>46.4</v>
      </c>
      <c r="D51">
        <v>11</v>
      </c>
      <c r="E51" s="4">
        <f t="shared" si="0"/>
        <v>57500</v>
      </c>
    </row>
    <row r="52" spans="1:5" x14ac:dyDescent="0.2">
      <c r="A52" t="s">
        <v>29</v>
      </c>
      <c r="B52">
        <v>131.80000000000001</v>
      </c>
      <c r="C52">
        <v>99.1</v>
      </c>
      <c r="D52">
        <v>32.700000000000003</v>
      </c>
      <c r="E52" s="4">
        <f t="shared" si="0"/>
        <v>131800</v>
      </c>
    </row>
    <row r="53" spans="1:5" x14ac:dyDescent="0.2">
      <c r="A53" t="s">
        <v>30</v>
      </c>
      <c r="B53">
        <v>15.9</v>
      </c>
      <c r="C53">
        <v>10.4</v>
      </c>
      <c r="D53">
        <v>5.5</v>
      </c>
      <c r="E53" s="4">
        <f t="shared" si="0"/>
        <v>15900</v>
      </c>
    </row>
    <row r="54" spans="1:5" x14ac:dyDescent="0.2">
      <c r="E54" s="4">
        <f t="shared" si="0"/>
        <v>0</v>
      </c>
    </row>
    <row r="55" spans="1:5" x14ac:dyDescent="0.2">
      <c r="A55" t="s">
        <v>39</v>
      </c>
      <c r="B55" s="33">
        <v>11965.7</v>
      </c>
      <c r="C55" s="33">
        <v>8452.7000000000007</v>
      </c>
      <c r="D55" s="33">
        <v>3513.1</v>
      </c>
      <c r="E55" s="4">
        <f>SUM(E4:E54)</f>
        <v>11948000</v>
      </c>
    </row>
    <row r="57" spans="1:5" x14ac:dyDescent="0.2">
      <c r="A57" t="s">
        <v>43</v>
      </c>
      <c r="B57" t="s">
        <v>108</v>
      </c>
    </row>
    <row r="59" spans="1:5" ht="87" customHeight="1" x14ac:dyDescent="0.2">
      <c r="A59" s="121" t="s">
        <v>126</v>
      </c>
      <c r="B59" s="121"/>
      <c r="C59" s="121"/>
      <c r="D59" s="121"/>
      <c r="E59" s="121"/>
    </row>
  </sheetData>
  <mergeCells count="1">
    <mergeCell ref="A59:E59"/>
  </mergeCells>
  <phoneticPr fontId="8"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tabColor rgb="FF00B0F0"/>
  </sheetPr>
  <dimension ref="A1:H59"/>
  <sheetViews>
    <sheetView zoomScale="70" zoomScaleNormal="70" zoomScalePageLayoutView="70" workbookViewId="0">
      <selection activeCell="J26" sqref="J26"/>
    </sheetView>
  </sheetViews>
  <sheetFormatPr baseColWidth="10" defaultColWidth="8.83203125" defaultRowHeight="15" x14ac:dyDescent="0.2"/>
  <cols>
    <col min="1" max="1" width="19.33203125" customWidth="1"/>
    <col min="2" max="2" width="18" style="46" customWidth="1"/>
    <col min="3" max="3" width="20.33203125" style="46" customWidth="1"/>
    <col min="4" max="4" width="17" style="46" customWidth="1"/>
    <col min="5" max="6" width="14.5" style="46" customWidth="1"/>
    <col min="7" max="7" width="14" style="46" customWidth="1"/>
    <col min="8" max="8" width="17.5" style="4" customWidth="1"/>
  </cols>
  <sheetData>
    <row r="1" spans="1:8" x14ac:dyDescent="0.2">
      <c r="A1" s="1" t="s">
        <v>38</v>
      </c>
      <c r="B1" s="46" t="s">
        <v>145</v>
      </c>
    </row>
    <row r="2" spans="1:8" x14ac:dyDescent="0.2">
      <c r="A2" s="2" t="s">
        <v>144</v>
      </c>
    </row>
    <row r="3" spans="1:8" ht="60" x14ac:dyDescent="0.2">
      <c r="A3" s="3"/>
      <c r="B3" s="47" t="s">
        <v>129</v>
      </c>
      <c r="C3" s="50" t="s">
        <v>232</v>
      </c>
      <c r="D3" s="50" t="s">
        <v>233</v>
      </c>
      <c r="E3" s="50" t="s">
        <v>234</v>
      </c>
      <c r="F3" s="50" t="s">
        <v>236</v>
      </c>
      <c r="G3" s="50" t="s">
        <v>235</v>
      </c>
      <c r="H3" s="13" t="s">
        <v>237</v>
      </c>
    </row>
    <row r="4" spans="1:8" ht="16" x14ac:dyDescent="0.2">
      <c r="A4" t="s">
        <v>109</v>
      </c>
      <c r="B4" s="48">
        <v>32.549999999999997</v>
      </c>
      <c r="C4" s="46">
        <v>154.87</v>
      </c>
      <c r="D4" s="51">
        <f>+B4/(B4+C4)</f>
        <v>0.17367410094973854</v>
      </c>
      <c r="E4" s="46">
        <v>179.48</v>
      </c>
      <c r="F4" s="46">
        <f>+E4*D4</f>
        <v>31.171027638459069</v>
      </c>
      <c r="G4" s="46">
        <f>+B4+F4</f>
        <v>63.721027638459063</v>
      </c>
      <c r="H4" s="4">
        <f>+G4*1000</f>
        <v>63721.027638459062</v>
      </c>
    </row>
    <row r="5" spans="1:8" ht="16" x14ac:dyDescent="0.2">
      <c r="A5" t="s">
        <v>110</v>
      </c>
      <c r="B5" s="48">
        <v>103</v>
      </c>
      <c r="C5" s="46">
        <v>129.43</v>
      </c>
      <c r="D5" s="51">
        <f t="shared" ref="D5:D55" si="0">+B5/(B5+C5)</f>
        <v>0.44314417243901388</v>
      </c>
      <c r="E5" s="46">
        <v>5.74</v>
      </c>
      <c r="F5" s="46">
        <f t="shared" ref="F5:F53" si="1">+E5*D5</f>
        <v>2.5436475497999398</v>
      </c>
      <c r="G5" s="46">
        <f t="shared" ref="G5:G55" si="2">+B5+F5</f>
        <v>105.54364754979994</v>
      </c>
      <c r="H5" s="4">
        <f t="shared" ref="H5:H53" si="3">+G5*1000</f>
        <v>105543.64754979995</v>
      </c>
    </row>
    <row r="6" spans="1:8" ht="16" x14ac:dyDescent="0.2">
      <c r="A6" t="s">
        <v>111</v>
      </c>
      <c r="B6" s="48">
        <v>432.2</v>
      </c>
      <c r="C6" s="46">
        <v>918.2</v>
      </c>
      <c r="D6" s="51">
        <f t="shared" si="0"/>
        <v>0.320053317535545</v>
      </c>
      <c r="E6" s="46">
        <v>0</v>
      </c>
      <c r="F6" s="46">
        <f t="shared" si="1"/>
        <v>0</v>
      </c>
      <c r="G6" s="46">
        <f t="shared" si="2"/>
        <v>432.2</v>
      </c>
      <c r="H6" s="4">
        <f t="shared" si="3"/>
        <v>432200</v>
      </c>
    </row>
    <row r="7" spans="1:8" ht="16" x14ac:dyDescent="0.2">
      <c r="A7" t="s">
        <v>112</v>
      </c>
      <c r="B7" s="48">
        <v>11.66</v>
      </c>
      <c r="C7" s="46">
        <v>82.72</v>
      </c>
      <c r="D7" s="51">
        <f t="shared" si="0"/>
        <v>0.12354312354312355</v>
      </c>
      <c r="E7" s="46">
        <v>38.18</v>
      </c>
      <c r="F7" s="46">
        <f t="shared" si="1"/>
        <v>4.7168764568764567</v>
      </c>
      <c r="G7" s="46">
        <f t="shared" si="2"/>
        <v>16.376876456876456</v>
      </c>
      <c r="H7" s="4">
        <f t="shared" si="3"/>
        <v>16376.876456876456</v>
      </c>
    </row>
    <row r="8" spans="1:8" ht="16" x14ac:dyDescent="0.2">
      <c r="A8" t="s">
        <v>113</v>
      </c>
      <c r="B8" s="48">
        <v>2020.03</v>
      </c>
      <c r="C8" s="46">
        <v>3781.97</v>
      </c>
      <c r="D8" s="51">
        <f t="shared" si="0"/>
        <v>0.34816097897276799</v>
      </c>
      <c r="E8" s="46">
        <v>625.45000000000005</v>
      </c>
      <c r="F8" s="46">
        <f t="shared" si="1"/>
        <v>217.75728429851776</v>
      </c>
      <c r="G8" s="46">
        <f t="shared" si="2"/>
        <v>2237.7872842985175</v>
      </c>
      <c r="H8" s="4">
        <f t="shared" si="3"/>
        <v>2237787.2842985177</v>
      </c>
    </row>
    <row r="9" spans="1:8" ht="16" x14ac:dyDescent="0.2">
      <c r="A9" t="s">
        <v>115</v>
      </c>
      <c r="B9" s="48">
        <v>142.93</v>
      </c>
      <c r="C9" s="46">
        <v>346.58</v>
      </c>
      <c r="D9" s="51">
        <f t="shared" si="0"/>
        <v>0.29198586341443489</v>
      </c>
      <c r="E9" s="46">
        <v>0</v>
      </c>
      <c r="F9" s="46">
        <f t="shared" si="1"/>
        <v>0</v>
      </c>
      <c r="G9" s="46">
        <f t="shared" si="2"/>
        <v>142.93</v>
      </c>
      <c r="H9" s="4">
        <f t="shared" si="3"/>
        <v>142930</v>
      </c>
    </row>
    <row r="10" spans="1:8" ht="16" x14ac:dyDescent="0.2">
      <c r="A10" t="s">
        <v>114</v>
      </c>
      <c r="B10" s="48">
        <v>0</v>
      </c>
      <c r="C10" s="46">
        <v>713.2</v>
      </c>
      <c r="D10" s="51">
        <f t="shared" si="0"/>
        <v>0</v>
      </c>
      <c r="E10" s="46">
        <v>51.5</v>
      </c>
      <c r="F10" s="46">
        <f t="shared" si="1"/>
        <v>0</v>
      </c>
      <c r="G10" s="46">
        <f t="shared" si="2"/>
        <v>0</v>
      </c>
      <c r="H10" s="4">
        <f t="shared" si="3"/>
        <v>0</v>
      </c>
    </row>
    <row r="11" spans="1:8" ht="16" x14ac:dyDescent="0.2">
      <c r="A11" t="s">
        <v>42</v>
      </c>
      <c r="B11" s="48" t="s">
        <v>127</v>
      </c>
      <c r="C11" s="46">
        <v>89.02</v>
      </c>
      <c r="D11" s="51">
        <v>0</v>
      </c>
      <c r="E11" s="46">
        <v>2.31</v>
      </c>
      <c r="F11" s="46">
        <f t="shared" si="1"/>
        <v>0</v>
      </c>
      <c r="G11" s="46">
        <v>0</v>
      </c>
      <c r="H11" s="4">
        <v>0</v>
      </c>
    </row>
    <row r="12" spans="1:8" ht="16" x14ac:dyDescent="0.2">
      <c r="A12" t="s">
        <v>116</v>
      </c>
      <c r="B12" s="48">
        <v>88.56</v>
      </c>
      <c r="C12" s="46">
        <v>608.76</v>
      </c>
      <c r="D12" s="51">
        <f t="shared" si="0"/>
        <v>0.12700051626226125</v>
      </c>
      <c r="E12" s="46">
        <v>20.28</v>
      </c>
      <c r="F12" s="46">
        <f t="shared" si="1"/>
        <v>2.5755704697986581</v>
      </c>
      <c r="G12" s="46">
        <f t="shared" si="2"/>
        <v>91.135570469798665</v>
      </c>
      <c r="H12" s="4">
        <f t="shared" si="3"/>
        <v>91135.570469798666</v>
      </c>
    </row>
    <row r="13" spans="1:8" ht="16" x14ac:dyDescent="0.2">
      <c r="A13" t="s">
        <v>117</v>
      </c>
      <c r="B13" s="48">
        <v>105.27</v>
      </c>
      <c r="C13" s="46">
        <v>447.14</v>
      </c>
      <c r="D13" s="51">
        <f t="shared" si="0"/>
        <v>0.19056497891059176</v>
      </c>
      <c r="E13" s="46">
        <v>0</v>
      </c>
      <c r="F13" s="46">
        <f t="shared" si="1"/>
        <v>0</v>
      </c>
      <c r="G13" s="46">
        <f t="shared" si="2"/>
        <v>105.27</v>
      </c>
      <c r="H13" s="4">
        <f t="shared" si="3"/>
        <v>105270</v>
      </c>
    </row>
    <row r="14" spans="1:8" ht="16" x14ac:dyDescent="0.2">
      <c r="A14" t="s">
        <v>118</v>
      </c>
      <c r="B14" s="48">
        <v>30.66</v>
      </c>
      <c r="C14" s="46">
        <v>133.69999999999999</v>
      </c>
      <c r="D14" s="51">
        <f t="shared" si="0"/>
        <v>0.18654173764906304</v>
      </c>
      <c r="E14" s="46">
        <v>12.5</v>
      </c>
      <c r="F14" s="46">
        <f t="shared" si="1"/>
        <v>2.331771720613288</v>
      </c>
      <c r="G14" s="46">
        <f t="shared" si="2"/>
        <v>32.991771720613286</v>
      </c>
      <c r="H14" s="4">
        <f t="shared" si="3"/>
        <v>32991.771720613287</v>
      </c>
    </row>
    <row r="15" spans="1:8" ht="16" x14ac:dyDescent="0.2">
      <c r="A15" t="s">
        <v>119</v>
      </c>
      <c r="B15" s="48">
        <v>10.7</v>
      </c>
      <c r="C15" s="46">
        <v>38.5</v>
      </c>
      <c r="D15" s="51">
        <f t="shared" si="0"/>
        <v>0.21747967479674793</v>
      </c>
      <c r="E15" s="46">
        <v>2.6</v>
      </c>
      <c r="F15" s="46">
        <f t="shared" si="1"/>
        <v>0.56544715447154459</v>
      </c>
      <c r="G15" s="46">
        <f t="shared" si="2"/>
        <v>11.265447154471543</v>
      </c>
      <c r="H15" s="4">
        <f t="shared" si="3"/>
        <v>11265.447154471543</v>
      </c>
    </row>
    <row r="16" spans="1:8" ht="16" x14ac:dyDescent="0.2">
      <c r="A16" t="s">
        <v>120</v>
      </c>
      <c r="B16" s="48">
        <v>233.8</v>
      </c>
      <c r="C16" s="46">
        <v>705.8</v>
      </c>
      <c r="D16" s="51">
        <f t="shared" si="0"/>
        <v>0.24882928905917415</v>
      </c>
      <c r="E16" s="46">
        <v>22.3</v>
      </c>
      <c r="F16" s="46">
        <f t="shared" si="1"/>
        <v>5.5488931460195836</v>
      </c>
      <c r="G16" s="46">
        <f t="shared" si="2"/>
        <v>239.34889314601961</v>
      </c>
      <c r="H16" s="4">
        <f t="shared" si="3"/>
        <v>239348.8931460196</v>
      </c>
    </row>
    <row r="17" spans="1:8" ht="16" x14ac:dyDescent="0.2">
      <c r="A17" t="s">
        <v>121</v>
      </c>
      <c r="B17" s="48">
        <v>106.88</v>
      </c>
      <c r="C17" s="46">
        <v>348.13</v>
      </c>
      <c r="D17" s="51">
        <f t="shared" si="0"/>
        <v>0.23489593635304717</v>
      </c>
      <c r="E17" s="46">
        <v>6.19</v>
      </c>
      <c r="F17" s="46">
        <f t="shared" si="1"/>
        <v>1.4540058460253622</v>
      </c>
      <c r="G17" s="46">
        <f t="shared" si="2"/>
        <v>108.33400584602536</v>
      </c>
      <c r="H17" s="4">
        <f t="shared" si="3"/>
        <v>108334.00584602536</v>
      </c>
    </row>
    <row r="18" spans="1:8" ht="16" x14ac:dyDescent="0.2">
      <c r="A18" t="s">
        <v>122</v>
      </c>
      <c r="B18" s="48">
        <v>155.30000000000001</v>
      </c>
      <c r="C18" s="46">
        <v>281.7</v>
      </c>
      <c r="D18" s="51">
        <f t="shared" si="0"/>
        <v>0.35537757437070938</v>
      </c>
      <c r="E18" s="46">
        <v>4.9000000000000004</v>
      </c>
      <c r="F18" s="46">
        <f t="shared" si="1"/>
        <v>1.741350114416476</v>
      </c>
      <c r="G18" s="46">
        <f t="shared" si="2"/>
        <v>157.04135011441647</v>
      </c>
      <c r="H18" s="4">
        <f t="shared" si="3"/>
        <v>157041.35011441648</v>
      </c>
    </row>
    <row r="19" spans="1:8" ht="16" x14ac:dyDescent="0.2">
      <c r="A19" t="s">
        <v>123</v>
      </c>
      <c r="B19" s="48">
        <v>141.9</v>
      </c>
      <c r="C19" s="46">
        <v>211.5</v>
      </c>
      <c r="D19" s="51">
        <f t="shared" si="0"/>
        <v>0.40152801358234297</v>
      </c>
      <c r="E19" s="46">
        <v>31.6</v>
      </c>
      <c r="F19" s="46">
        <f t="shared" si="1"/>
        <v>12.688285229202039</v>
      </c>
      <c r="G19" s="46">
        <f t="shared" si="2"/>
        <v>154.58828522920206</v>
      </c>
      <c r="H19" s="4">
        <f t="shared" si="3"/>
        <v>154588.28522920207</v>
      </c>
    </row>
    <row r="20" spans="1:8" ht="16" x14ac:dyDescent="0.2">
      <c r="A20" t="s">
        <v>124</v>
      </c>
      <c r="B20" s="48">
        <v>54.4</v>
      </c>
      <c r="C20" s="46">
        <v>175.2</v>
      </c>
      <c r="D20" s="51">
        <f t="shared" si="0"/>
        <v>0.23693379790940766</v>
      </c>
      <c r="E20" s="46">
        <v>10.199999999999999</v>
      </c>
      <c r="F20" s="46">
        <f t="shared" si="1"/>
        <v>2.4167247386759581</v>
      </c>
      <c r="G20" s="46">
        <f t="shared" si="2"/>
        <v>56.816724738675958</v>
      </c>
      <c r="H20" s="4">
        <f t="shared" si="3"/>
        <v>56816.724738675955</v>
      </c>
    </row>
    <row r="21" spans="1:8" ht="16" x14ac:dyDescent="0.2">
      <c r="A21" t="s">
        <v>125</v>
      </c>
      <c r="B21" s="48">
        <v>40.869999999999997</v>
      </c>
      <c r="C21" s="46">
        <v>227.49</v>
      </c>
      <c r="D21" s="51">
        <f t="shared" si="0"/>
        <v>0.15229542405723653</v>
      </c>
      <c r="E21" s="46">
        <v>31.76</v>
      </c>
      <c r="F21" s="46">
        <f t="shared" si="1"/>
        <v>4.8369026680578324</v>
      </c>
      <c r="G21" s="46">
        <f t="shared" si="2"/>
        <v>45.706902668057829</v>
      </c>
      <c r="H21" s="4">
        <f t="shared" si="3"/>
        <v>45706.902668057832</v>
      </c>
    </row>
    <row r="22" spans="1:8" ht="16" x14ac:dyDescent="0.2">
      <c r="A22" t="s">
        <v>0</v>
      </c>
      <c r="B22" s="48">
        <v>192.57</v>
      </c>
      <c r="C22" s="46">
        <v>245.51</v>
      </c>
      <c r="D22" s="51">
        <f t="shared" si="0"/>
        <v>0.43957724616508398</v>
      </c>
      <c r="E22" s="46">
        <v>11.1</v>
      </c>
      <c r="F22" s="46">
        <f t="shared" si="1"/>
        <v>4.8793074324324319</v>
      </c>
      <c r="G22" s="46">
        <f t="shared" si="2"/>
        <v>197.44930743243242</v>
      </c>
      <c r="H22" s="4">
        <f t="shared" si="3"/>
        <v>197449.30743243243</v>
      </c>
    </row>
    <row r="23" spans="1:8" ht="16" x14ac:dyDescent="0.2">
      <c r="A23" t="s">
        <v>1</v>
      </c>
      <c r="B23" s="48">
        <v>308.2</v>
      </c>
      <c r="C23" s="46">
        <v>670.6</v>
      </c>
      <c r="D23" s="51">
        <f t="shared" si="0"/>
        <v>0.31487535758071106</v>
      </c>
      <c r="E23" s="46">
        <v>102.5</v>
      </c>
      <c r="F23" s="46">
        <f t="shared" si="1"/>
        <v>32.274724152022884</v>
      </c>
      <c r="G23" s="46">
        <f t="shared" si="2"/>
        <v>340.47472415202287</v>
      </c>
      <c r="H23" s="4">
        <f t="shared" si="3"/>
        <v>340474.72415202286</v>
      </c>
    </row>
    <row r="24" spans="1:8" ht="16" x14ac:dyDescent="0.2">
      <c r="A24" t="s">
        <v>2</v>
      </c>
      <c r="B24" s="48">
        <v>89.2</v>
      </c>
      <c r="C24" s="46">
        <v>612.6</v>
      </c>
      <c r="D24" s="51">
        <f t="shared" si="0"/>
        <v>0.12710173838700484</v>
      </c>
      <c r="E24" s="46">
        <v>19.5</v>
      </c>
      <c r="F24" s="46">
        <f t="shared" si="1"/>
        <v>2.4784838985465942</v>
      </c>
      <c r="G24" s="46">
        <f t="shared" si="2"/>
        <v>91.678483898546602</v>
      </c>
      <c r="H24" s="4">
        <f t="shared" si="3"/>
        <v>91678.483898546605</v>
      </c>
    </row>
    <row r="25" spans="1:8" ht="16" x14ac:dyDescent="0.2">
      <c r="A25" t="s">
        <v>3</v>
      </c>
      <c r="B25" s="48">
        <v>201.3</v>
      </c>
      <c r="C25" s="46">
        <v>978.9</v>
      </c>
      <c r="D25" s="51">
        <f t="shared" si="0"/>
        <v>0.17056431113370615</v>
      </c>
      <c r="E25" s="46">
        <v>6.3</v>
      </c>
      <c r="F25" s="46">
        <f t="shared" si="1"/>
        <v>1.0745551601423486</v>
      </c>
      <c r="G25" s="46">
        <f t="shared" si="2"/>
        <v>202.37455516014236</v>
      </c>
      <c r="H25" s="4">
        <f t="shared" si="3"/>
        <v>202374.55516014236</v>
      </c>
    </row>
    <row r="26" spans="1:8" ht="16" x14ac:dyDescent="0.2">
      <c r="A26" t="s">
        <v>4</v>
      </c>
      <c r="B26" s="48">
        <v>271.35000000000002</v>
      </c>
      <c r="C26" s="46">
        <v>626.79</v>
      </c>
      <c r="D26" s="51">
        <f t="shared" si="0"/>
        <v>0.30212439040684086</v>
      </c>
      <c r="E26" s="46">
        <v>5.92</v>
      </c>
      <c r="F26" s="46">
        <f t="shared" si="1"/>
        <v>1.7885763912084978</v>
      </c>
      <c r="G26" s="46">
        <f t="shared" si="2"/>
        <v>273.13857639120852</v>
      </c>
      <c r="H26" s="4">
        <f t="shared" si="3"/>
        <v>273138.57639120851</v>
      </c>
    </row>
    <row r="27" spans="1:8" ht="16" x14ac:dyDescent="0.2">
      <c r="A27" t="s">
        <v>5</v>
      </c>
      <c r="B27" s="48">
        <v>98.44</v>
      </c>
      <c r="C27" s="46">
        <v>214.59</v>
      </c>
      <c r="D27" s="51">
        <f t="shared" si="0"/>
        <v>0.31447465099191774</v>
      </c>
      <c r="E27" s="46">
        <v>3.6</v>
      </c>
      <c r="F27" s="46">
        <f t="shared" si="1"/>
        <v>1.1321087435709039</v>
      </c>
      <c r="G27" s="46">
        <f t="shared" si="2"/>
        <v>99.572108743570908</v>
      </c>
      <c r="H27" s="4">
        <f t="shared" si="3"/>
        <v>99572.108743570905</v>
      </c>
    </row>
    <row r="28" spans="1:8" ht="16" x14ac:dyDescent="0.2">
      <c r="A28" t="s">
        <v>6</v>
      </c>
      <c r="B28" s="48">
        <v>77.819999999999993</v>
      </c>
      <c r="C28" s="46">
        <v>454.75</v>
      </c>
      <c r="D28" s="51">
        <f t="shared" si="0"/>
        <v>0.14612163659237284</v>
      </c>
      <c r="E28" s="46">
        <v>21.07</v>
      </c>
      <c r="F28" s="46">
        <f t="shared" si="1"/>
        <v>3.078782883001296</v>
      </c>
      <c r="G28" s="46">
        <f t="shared" si="2"/>
        <v>80.898782883001289</v>
      </c>
      <c r="H28" s="4">
        <f t="shared" si="3"/>
        <v>80898.782883001288</v>
      </c>
    </row>
    <row r="29" spans="1:8" ht="16" x14ac:dyDescent="0.2">
      <c r="A29" t="s">
        <v>7</v>
      </c>
      <c r="B29" s="48">
        <v>95.37</v>
      </c>
      <c r="C29" s="46">
        <v>98.76</v>
      </c>
      <c r="D29" s="51">
        <f t="shared" si="0"/>
        <v>0.49126873744398086</v>
      </c>
      <c r="E29" s="46">
        <v>4.0199999999999996</v>
      </c>
      <c r="F29" s="46">
        <f t="shared" si="1"/>
        <v>1.9749003245248029</v>
      </c>
      <c r="G29" s="46">
        <f t="shared" si="2"/>
        <v>97.344900324524801</v>
      </c>
      <c r="H29" s="4">
        <f t="shared" si="3"/>
        <v>97344.900324524802</v>
      </c>
    </row>
    <row r="30" spans="1:8" ht="16" x14ac:dyDescent="0.2">
      <c r="A30" t="s">
        <v>8</v>
      </c>
      <c r="B30" s="48">
        <v>11.7</v>
      </c>
      <c r="C30" s="46">
        <v>142.57</v>
      </c>
      <c r="D30" s="51">
        <f t="shared" si="0"/>
        <v>7.5841057885525379E-2</v>
      </c>
      <c r="E30" s="46">
        <v>2.56</v>
      </c>
      <c r="F30" s="46">
        <f t="shared" si="1"/>
        <v>0.19415310818694498</v>
      </c>
      <c r="G30" s="46">
        <f t="shared" si="2"/>
        <v>11.894153108186945</v>
      </c>
      <c r="H30" s="4">
        <f t="shared" si="3"/>
        <v>11894.153108186945</v>
      </c>
    </row>
    <row r="31" spans="1:8" ht="16" x14ac:dyDescent="0.2">
      <c r="A31" t="s">
        <v>92</v>
      </c>
      <c r="B31" s="48">
        <v>27</v>
      </c>
      <c r="C31" s="46">
        <v>116.8</v>
      </c>
      <c r="D31" s="51">
        <f t="shared" si="0"/>
        <v>0.18776077885952711</v>
      </c>
      <c r="E31" s="46">
        <v>19.399999999999999</v>
      </c>
      <c r="F31" s="46">
        <f t="shared" si="1"/>
        <v>3.6425591098748256</v>
      </c>
      <c r="G31" s="46">
        <f t="shared" si="2"/>
        <v>30.642559109874824</v>
      </c>
      <c r="H31" s="4">
        <f t="shared" si="3"/>
        <v>30642.559109874823</v>
      </c>
    </row>
    <row r="32" spans="1:8" ht="16" x14ac:dyDescent="0.2">
      <c r="A32" t="s">
        <v>9</v>
      </c>
      <c r="B32" s="48">
        <v>43.63</v>
      </c>
      <c r="C32" s="46">
        <v>133.91</v>
      </c>
      <c r="D32" s="51">
        <f t="shared" si="0"/>
        <v>0.24574743719725134</v>
      </c>
      <c r="E32" s="46">
        <v>2.08</v>
      </c>
      <c r="F32" s="46">
        <f t="shared" si="1"/>
        <v>0.51115466937028275</v>
      </c>
      <c r="G32" s="46">
        <f t="shared" si="2"/>
        <v>44.141154669370287</v>
      </c>
      <c r="H32" s="4">
        <f t="shared" si="3"/>
        <v>44141.154669370284</v>
      </c>
    </row>
    <row r="33" spans="1:8" ht="16" x14ac:dyDescent="0.2">
      <c r="A33" t="s">
        <v>10</v>
      </c>
      <c r="B33" s="48">
        <v>305.95</v>
      </c>
      <c r="C33" s="46">
        <v>1442.49</v>
      </c>
      <c r="D33" s="51">
        <f t="shared" si="0"/>
        <v>0.17498455766283086</v>
      </c>
      <c r="E33" s="46">
        <v>116.14</v>
      </c>
      <c r="F33" s="46">
        <f t="shared" si="1"/>
        <v>20.322706526961177</v>
      </c>
      <c r="G33" s="46">
        <f t="shared" si="2"/>
        <v>326.27270652696114</v>
      </c>
      <c r="H33" s="4">
        <f t="shared" si="3"/>
        <v>326272.70652696112</v>
      </c>
    </row>
    <row r="34" spans="1:8" ht="16" x14ac:dyDescent="0.2">
      <c r="A34" t="s">
        <v>11</v>
      </c>
      <c r="B34" s="48">
        <v>143.4</v>
      </c>
      <c r="C34" s="46">
        <v>129</v>
      </c>
      <c r="D34" s="51">
        <f t="shared" si="0"/>
        <v>0.5264317180616741</v>
      </c>
      <c r="E34" s="46">
        <v>0</v>
      </c>
      <c r="F34" s="46">
        <f t="shared" si="1"/>
        <v>0</v>
      </c>
      <c r="G34" s="46">
        <f t="shared" si="2"/>
        <v>143.4</v>
      </c>
      <c r="H34" s="4">
        <f t="shared" si="3"/>
        <v>143400</v>
      </c>
    </row>
    <row r="35" spans="1:8" ht="16" x14ac:dyDescent="0.2">
      <c r="A35" t="s">
        <v>12</v>
      </c>
      <c r="B35" s="48">
        <v>262.7</v>
      </c>
      <c r="C35" s="46">
        <v>1590</v>
      </c>
      <c r="D35" s="51">
        <f t="shared" si="0"/>
        <v>0.14179305877907916</v>
      </c>
      <c r="E35" s="46">
        <v>3415.7</v>
      </c>
      <c r="F35" s="46">
        <f t="shared" si="1"/>
        <v>484.32255087170068</v>
      </c>
      <c r="G35" s="46">
        <f t="shared" si="2"/>
        <v>747.02255087170067</v>
      </c>
      <c r="H35" s="4">
        <f t="shared" si="3"/>
        <v>747022.55087170063</v>
      </c>
    </row>
    <row r="36" spans="1:8" ht="16" x14ac:dyDescent="0.2">
      <c r="A36" t="s">
        <v>13</v>
      </c>
      <c r="B36" s="48">
        <v>656.3</v>
      </c>
      <c r="C36" s="46">
        <v>626.83000000000004</v>
      </c>
      <c r="D36" s="51">
        <f t="shared" si="0"/>
        <v>0.51148363766726668</v>
      </c>
      <c r="E36" s="46">
        <v>16.88</v>
      </c>
      <c r="F36" s="46">
        <f t="shared" si="1"/>
        <v>8.6338438038234617</v>
      </c>
      <c r="G36" s="46">
        <f t="shared" si="2"/>
        <v>664.93384380382338</v>
      </c>
      <c r="H36" s="4">
        <f t="shared" si="3"/>
        <v>664933.84380382334</v>
      </c>
    </row>
    <row r="37" spans="1:8" ht="16" x14ac:dyDescent="0.2">
      <c r="A37" t="s">
        <v>14</v>
      </c>
      <c r="B37" s="48">
        <v>3.51</v>
      </c>
      <c r="C37" s="46">
        <v>55.95</v>
      </c>
      <c r="D37" s="51">
        <f t="shared" si="0"/>
        <v>5.9031281533804235E-2</v>
      </c>
      <c r="E37" s="46">
        <v>0.17</v>
      </c>
      <c r="F37" s="46">
        <f t="shared" si="1"/>
        <v>1.0035317860746721E-2</v>
      </c>
      <c r="G37" s="46">
        <f t="shared" si="2"/>
        <v>3.5200353178607466</v>
      </c>
      <c r="H37" s="4">
        <f t="shared" si="3"/>
        <v>3520.0353178607465</v>
      </c>
    </row>
    <row r="38" spans="1:8" ht="16" x14ac:dyDescent="0.2">
      <c r="A38" t="s">
        <v>15</v>
      </c>
      <c r="B38" s="48">
        <v>367.72</v>
      </c>
      <c r="C38" s="46">
        <v>673.67</v>
      </c>
      <c r="D38" s="51">
        <f t="shared" si="0"/>
        <v>0.35310498468393214</v>
      </c>
      <c r="E38" s="46">
        <v>28.64</v>
      </c>
      <c r="F38" s="46">
        <f t="shared" si="1"/>
        <v>10.112926761347817</v>
      </c>
      <c r="G38" s="46">
        <f t="shared" si="2"/>
        <v>377.83292676134784</v>
      </c>
      <c r="H38" s="4">
        <f t="shared" si="3"/>
        <v>377832.92676134786</v>
      </c>
    </row>
    <row r="39" spans="1:8" ht="16" x14ac:dyDescent="0.2">
      <c r="A39" t="s">
        <v>16</v>
      </c>
      <c r="B39" s="48">
        <v>20.9</v>
      </c>
      <c r="C39" s="46">
        <v>181.4</v>
      </c>
      <c r="D39" s="51">
        <f t="shared" si="0"/>
        <v>0.1033119130004943</v>
      </c>
      <c r="E39" s="46">
        <v>10.82</v>
      </c>
      <c r="F39" s="46">
        <f t="shared" si="1"/>
        <v>1.1178348986653484</v>
      </c>
      <c r="G39" s="46">
        <f t="shared" si="2"/>
        <v>22.017834898665345</v>
      </c>
      <c r="H39" s="4">
        <f t="shared" si="3"/>
        <v>22017.834898665344</v>
      </c>
    </row>
    <row r="40" spans="1:8" ht="16" x14ac:dyDescent="0.2">
      <c r="A40" t="s">
        <v>17</v>
      </c>
      <c r="B40" s="48">
        <v>148.69999999999999</v>
      </c>
      <c r="C40" s="46">
        <v>535.9</v>
      </c>
      <c r="D40" s="51">
        <f t="shared" si="0"/>
        <v>0.21720712825007304</v>
      </c>
      <c r="E40" s="46">
        <v>8.1999999999999993</v>
      </c>
      <c r="F40" s="46">
        <f t="shared" si="1"/>
        <v>1.7810984516505988</v>
      </c>
      <c r="G40" s="46">
        <f t="shared" si="2"/>
        <v>150.48109845165058</v>
      </c>
      <c r="H40" s="4">
        <f t="shared" si="3"/>
        <v>150481.09845165059</v>
      </c>
    </row>
    <row r="41" spans="1:8" ht="16" x14ac:dyDescent="0.2">
      <c r="A41" t="s">
        <v>18</v>
      </c>
      <c r="B41" s="48">
        <v>2021.7</v>
      </c>
      <c r="C41" s="46">
        <v>1694.7</v>
      </c>
      <c r="D41" s="51">
        <f t="shared" si="0"/>
        <v>0.54399418792379717</v>
      </c>
      <c r="E41" s="46">
        <v>48.1</v>
      </c>
      <c r="F41" s="46">
        <f t="shared" si="1"/>
        <v>26.166120439134644</v>
      </c>
      <c r="G41" s="46">
        <f t="shared" si="2"/>
        <v>2047.8661204391346</v>
      </c>
      <c r="H41" s="4">
        <f t="shared" si="3"/>
        <v>2047866.1204391345</v>
      </c>
    </row>
    <row r="42" spans="1:8" ht="16" x14ac:dyDescent="0.2">
      <c r="A42" t="s">
        <v>19</v>
      </c>
      <c r="B42" s="48">
        <v>0</v>
      </c>
      <c r="C42" s="46">
        <v>109.04</v>
      </c>
      <c r="D42" s="51">
        <f t="shared" si="0"/>
        <v>0</v>
      </c>
      <c r="E42" s="46">
        <v>2.25</v>
      </c>
      <c r="F42" s="46">
        <f t="shared" si="1"/>
        <v>0</v>
      </c>
      <c r="G42" s="46">
        <f t="shared" si="2"/>
        <v>0</v>
      </c>
      <c r="H42" s="4">
        <f t="shared" si="3"/>
        <v>0</v>
      </c>
    </row>
    <row r="43" spans="1:8" ht="16" x14ac:dyDescent="0.2">
      <c r="A43" t="s">
        <v>20</v>
      </c>
      <c r="B43" s="48">
        <v>66.8</v>
      </c>
      <c r="C43" s="46">
        <v>186.5</v>
      </c>
      <c r="D43" s="51">
        <f t="shared" si="0"/>
        <v>0.26371891038294509</v>
      </c>
      <c r="E43" s="46">
        <v>14</v>
      </c>
      <c r="F43" s="46">
        <f t="shared" si="1"/>
        <v>3.6920647453612312</v>
      </c>
      <c r="G43" s="46">
        <f t="shared" si="2"/>
        <v>70.492064745361233</v>
      </c>
      <c r="H43" s="4">
        <f t="shared" si="3"/>
        <v>70492.064745361233</v>
      </c>
    </row>
    <row r="44" spans="1:8" ht="16" x14ac:dyDescent="0.2">
      <c r="A44" t="s">
        <v>21</v>
      </c>
      <c r="B44" s="48">
        <v>14</v>
      </c>
      <c r="C44" s="46">
        <v>35.06</v>
      </c>
      <c r="D44" s="51">
        <f t="shared" si="0"/>
        <v>0.28536485935589073</v>
      </c>
      <c r="E44" s="46">
        <v>21.93</v>
      </c>
      <c r="F44" s="46">
        <f t="shared" si="1"/>
        <v>6.2580513656746835</v>
      </c>
      <c r="G44" s="46">
        <f t="shared" si="2"/>
        <v>20.258051365674682</v>
      </c>
      <c r="H44" s="4">
        <f t="shared" si="3"/>
        <v>20258.051365674681</v>
      </c>
    </row>
    <row r="45" spans="1:8" ht="16" x14ac:dyDescent="0.2">
      <c r="A45" t="s">
        <v>22</v>
      </c>
      <c r="B45" s="48">
        <v>180.5</v>
      </c>
      <c r="C45" s="46">
        <v>378.7</v>
      </c>
      <c r="D45" s="51">
        <f t="shared" si="0"/>
        <v>0.32278254649499283</v>
      </c>
      <c r="E45" s="46">
        <v>12.4</v>
      </c>
      <c r="F45" s="46">
        <f t="shared" si="1"/>
        <v>4.0025035765379116</v>
      </c>
      <c r="G45" s="46">
        <f t="shared" si="2"/>
        <v>184.50250357653792</v>
      </c>
      <c r="H45" s="4">
        <f t="shared" si="3"/>
        <v>184502.50357653791</v>
      </c>
    </row>
    <row r="46" spans="1:8" ht="16" x14ac:dyDescent="0.2">
      <c r="A46" t="s">
        <v>23</v>
      </c>
      <c r="B46" s="48">
        <v>121.1</v>
      </c>
      <c r="C46" s="46">
        <v>837.9</v>
      </c>
      <c r="D46" s="51">
        <f t="shared" si="0"/>
        <v>0.12627737226277372</v>
      </c>
      <c r="E46" s="46">
        <v>27.5</v>
      </c>
      <c r="F46" s="46">
        <f t="shared" si="1"/>
        <v>3.472627737226277</v>
      </c>
      <c r="G46" s="46">
        <f t="shared" si="2"/>
        <v>124.57262773722627</v>
      </c>
      <c r="H46" s="4">
        <f t="shared" si="3"/>
        <v>124572.62773722627</v>
      </c>
    </row>
    <row r="47" spans="1:8" ht="16" x14ac:dyDescent="0.2">
      <c r="A47" t="s">
        <v>24</v>
      </c>
      <c r="B47" s="48">
        <v>55.7</v>
      </c>
      <c r="C47" s="46">
        <v>126.7</v>
      </c>
      <c r="D47" s="51">
        <f t="shared" si="0"/>
        <v>0.30537280701754388</v>
      </c>
      <c r="E47" s="46">
        <v>1.1000000000000001</v>
      </c>
      <c r="F47" s="46">
        <f t="shared" si="1"/>
        <v>0.33591008771929831</v>
      </c>
      <c r="G47" s="46">
        <f t="shared" si="2"/>
        <v>56.035910087719301</v>
      </c>
      <c r="H47" s="4">
        <f t="shared" si="3"/>
        <v>56035.910087719305</v>
      </c>
    </row>
    <row r="48" spans="1:8" ht="16" x14ac:dyDescent="0.2">
      <c r="A48" t="s">
        <v>25</v>
      </c>
      <c r="B48" s="48">
        <v>72.599999999999994</v>
      </c>
      <c r="C48" s="46">
        <v>79.400000000000006</v>
      </c>
      <c r="D48" s="51">
        <f t="shared" si="0"/>
        <v>0.47763157894736841</v>
      </c>
      <c r="E48" s="46">
        <v>6.4</v>
      </c>
      <c r="F48" s="46">
        <f t="shared" si="1"/>
        <v>3.0568421052631578</v>
      </c>
      <c r="G48" s="46">
        <f t="shared" si="2"/>
        <v>75.656842105263152</v>
      </c>
      <c r="H48" s="4">
        <f t="shared" si="3"/>
        <v>75656.842105263146</v>
      </c>
    </row>
    <row r="49" spans="1:8" ht="16" x14ac:dyDescent="0.2">
      <c r="A49" t="s">
        <v>26</v>
      </c>
      <c r="B49" s="48">
        <v>123.3</v>
      </c>
      <c r="C49" s="46">
        <v>601.5</v>
      </c>
      <c r="D49" s="51">
        <f t="shared" si="0"/>
        <v>0.17011589403973509</v>
      </c>
      <c r="E49" s="46">
        <v>21.8</v>
      </c>
      <c r="F49" s="46">
        <f t="shared" si="1"/>
        <v>3.7085264900662254</v>
      </c>
      <c r="G49" s="46">
        <f t="shared" si="2"/>
        <v>127.00852649006622</v>
      </c>
      <c r="H49" s="4">
        <f t="shared" si="3"/>
        <v>127008.52649006622</v>
      </c>
    </row>
    <row r="50" spans="1:8" ht="16" x14ac:dyDescent="0.2">
      <c r="A50" t="s">
        <v>27</v>
      </c>
      <c r="B50" s="48">
        <v>132.19999999999999</v>
      </c>
      <c r="C50" s="46">
        <v>500.2</v>
      </c>
      <c r="D50" s="51">
        <f t="shared" si="0"/>
        <v>0.209044908285895</v>
      </c>
      <c r="E50" s="46">
        <v>141.5</v>
      </c>
      <c r="F50" s="46">
        <f t="shared" si="1"/>
        <v>29.579854522454141</v>
      </c>
      <c r="G50" s="46">
        <f t="shared" si="2"/>
        <v>161.77985452245412</v>
      </c>
      <c r="H50" s="4">
        <f t="shared" si="3"/>
        <v>161779.85452245412</v>
      </c>
    </row>
    <row r="51" spans="1:8" ht="16" x14ac:dyDescent="0.2">
      <c r="A51" t="s">
        <v>28</v>
      </c>
      <c r="B51" s="48">
        <v>3.6</v>
      </c>
      <c r="C51" s="46">
        <v>95</v>
      </c>
      <c r="D51" s="51">
        <f t="shared" si="0"/>
        <v>3.6511156186612582E-2</v>
      </c>
      <c r="E51" s="46">
        <v>56.9</v>
      </c>
      <c r="F51" s="46">
        <f t="shared" si="1"/>
        <v>2.077484787018256</v>
      </c>
      <c r="G51" s="46">
        <f t="shared" si="2"/>
        <v>5.6774847870182565</v>
      </c>
      <c r="H51" s="4">
        <f t="shared" si="3"/>
        <v>5677.4847870182566</v>
      </c>
    </row>
    <row r="52" spans="1:8" ht="16" x14ac:dyDescent="0.2">
      <c r="A52" t="s">
        <v>29</v>
      </c>
      <c r="B52" s="48">
        <v>7.1</v>
      </c>
      <c r="C52" s="46">
        <v>194.9</v>
      </c>
      <c r="D52" s="51">
        <f t="shared" si="0"/>
        <v>3.5148514851485145E-2</v>
      </c>
      <c r="E52" s="46">
        <v>387</v>
      </c>
      <c r="F52" s="46">
        <f t="shared" si="1"/>
        <v>13.602475247524751</v>
      </c>
      <c r="G52" s="46">
        <f t="shared" si="2"/>
        <v>20.702475247524752</v>
      </c>
      <c r="H52" s="4">
        <f t="shared" si="3"/>
        <v>20702.475247524751</v>
      </c>
    </row>
    <row r="53" spans="1:8" ht="16" x14ac:dyDescent="0.2">
      <c r="A53" t="s">
        <v>30</v>
      </c>
      <c r="B53" s="48">
        <v>1.44</v>
      </c>
      <c r="C53" s="46">
        <v>60.12</v>
      </c>
      <c r="D53" s="51">
        <f t="shared" si="0"/>
        <v>2.3391812865497078E-2</v>
      </c>
      <c r="E53" s="46">
        <v>2.31</v>
      </c>
      <c r="F53" s="46">
        <f t="shared" si="1"/>
        <v>5.4035087719298248E-2</v>
      </c>
      <c r="G53" s="46">
        <f t="shared" si="2"/>
        <v>1.4940350877192983</v>
      </c>
      <c r="H53" s="4">
        <f t="shared" si="3"/>
        <v>1494.0350877192982</v>
      </c>
    </row>
    <row r="55" spans="1:8" ht="16" x14ac:dyDescent="0.2">
      <c r="A55" t="s">
        <v>32</v>
      </c>
      <c r="B55" s="48">
        <f>SUM(B4:B54)</f>
        <v>9836.510000000002</v>
      </c>
      <c r="C55" s="46">
        <f>SUM(C4:C54)</f>
        <v>23824.650000000012</v>
      </c>
      <c r="D55" s="51">
        <f t="shared" si="0"/>
        <v>0.29222136135534238</v>
      </c>
      <c r="E55" s="46">
        <f>SUM(E4:E54)</f>
        <v>5582.78</v>
      </c>
      <c r="F55" s="46">
        <f t="shared" ref="F55:H55" si="4">SUM(F4:F54)</f>
        <v>965.68458572752547</v>
      </c>
      <c r="G55" s="46">
        <f t="shared" si="2"/>
        <v>10802.194585727528</v>
      </c>
      <c r="H55" s="10">
        <f t="shared" si="4"/>
        <v>10802194.585727526</v>
      </c>
    </row>
    <row r="57" spans="1:8" x14ac:dyDescent="0.2">
      <c r="A57" t="s">
        <v>68</v>
      </c>
      <c r="B57" s="46" t="s">
        <v>43</v>
      </c>
      <c r="C57" s="49" t="s">
        <v>128</v>
      </c>
    </row>
    <row r="59" spans="1:8" x14ac:dyDescent="0.2">
      <c r="A59" t="s">
        <v>78</v>
      </c>
      <c r="B59" s="46">
        <f>9883.18-35.42-11.24</f>
        <v>9836.52</v>
      </c>
      <c r="C59" s="46">
        <f>24025.14-126.17-74.31</f>
        <v>23824.66</v>
      </c>
      <c r="E59" s="46">
        <f>5613.45-30.67</f>
        <v>5582.78</v>
      </c>
    </row>
  </sheetData>
  <sortState ref="B4:C53">
    <sortCondition ref="C4:C53"/>
  </sortState>
  <phoneticPr fontId="8" type="noConversion"/>
  <hyperlinks>
    <hyperlink ref="C57" r:id="rId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tabColor rgb="FF00B0F0"/>
  </sheetPr>
  <dimension ref="A1:E59"/>
  <sheetViews>
    <sheetView zoomScale="145" zoomScaleNormal="145" zoomScalePageLayoutView="145" workbookViewId="0">
      <selection activeCell="B16" sqref="B16"/>
    </sheetView>
  </sheetViews>
  <sheetFormatPr baseColWidth="10" defaultColWidth="8.83203125" defaultRowHeight="15" x14ac:dyDescent="0.2"/>
  <cols>
    <col min="1" max="1" width="15" customWidth="1"/>
    <col min="2" max="2" width="17.5" customWidth="1"/>
    <col min="3" max="3" width="16.1640625" customWidth="1"/>
    <col min="4" max="4" width="5.6640625" customWidth="1"/>
    <col min="5" max="5" width="13.5" customWidth="1"/>
  </cols>
  <sheetData>
    <row r="1" spans="1:5" x14ac:dyDescent="0.2">
      <c r="A1" t="s">
        <v>173</v>
      </c>
    </row>
    <row r="2" spans="1:5" s="57" customFormat="1" ht="48" x14ac:dyDescent="0.2">
      <c r="B2" s="59" t="s">
        <v>174</v>
      </c>
      <c r="C2" s="59" t="s">
        <v>175</v>
      </c>
    </row>
    <row r="3" spans="1:5" s="57" customFormat="1" ht="48" x14ac:dyDescent="0.2">
      <c r="B3" s="59" t="s">
        <v>176</v>
      </c>
      <c r="C3" s="59" t="s">
        <v>177</v>
      </c>
      <c r="E3" s="57" t="s">
        <v>215</v>
      </c>
    </row>
    <row r="4" spans="1:5" x14ac:dyDescent="0.2">
      <c r="A4" s="53" t="s">
        <v>109</v>
      </c>
      <c r="B4" s="45">
        <v>8454623</v>
      </c>
      <c r="C4" s="45">
        <v>56037969</v>
      </c>
      <c r="E4" s="45">
        <f>(+B4+C4)*0.001</f>
        <v>64492.592000000004</v>
      </c>
    </row>
    <row r="5" spans="1:5" x14ac:dyDescent="0.2">
      <c r="A5" s="53" t="s">
        <v>110</v>
      </c>
      <c r="B5" s="45">
        <v>5063654</v>
      </c>
      <c r="C5" s="45">
        <v>10991361</v>
      </c>
      <c r="E5" s="45">
        <f t="shared" ref="E5:E53" si="0">(+B5+C5)*0.001</f>
        <v>16055.015000000001</v>
      </c>
    </row>
    <row r="6" spans="1:5" x14ac:dyDescent="0.2">
      <c r="A6" s="53" t="s">
        <v>111</v>
      </c>
      <c r="B6" s="45">
        <v>11943137</v>
      </c>
      <c r="C6" s="45">
        <v>81101230</v>
      </c>
      <c r="E6" s="45">
        <f t="shared" si="0"/>
        <v>93044.366999999998</v>
      </c>
    </row>
    <row r="7" spans="1:5" x14ac:dyDescent="0.2">
      <c r="A7" s="53" t="s">
        <v>112</v>
      </c>
      <c r="B7" s="45">
        <v>4535736</v>
      </c>
      <c r="C7" s="45">
        <v>40264126</v>
      </c>
      <c r="E7" s="45">
        <f t="shared" si="0"/>
        <v>44799.862000000001</v>
      </c>
    </row>
    <row r="8" spans="1:5" x14ac:dyDescent="0.2">
      <c r="A8" s="53" t="s">
        <v>113</v>
      </c>
      <c r="B8" s="45">
        <v>63098560</v>
      </c>
      <c r="C8" s="45">
        <v>513910346</v>
      </c>
      <c r="E8" s="45">
        <f t="shared" si="0"/>
        <v>577008.90599999996</v>
      </c>
    </row>
    <row r="9" spans="1:5" x14ac:dyDescent="0.2">
      <c r="A9" s="53" t="s">
        <v>115</v>
      </c>
      <c r="B9" s="45">
        <v>8923218</v>
      </c>
      <c r="C9" s="45">
        <v>43168929</v>
      </c>
      <c r="E9" s="45">
        <f t="shared" si="0"/>
        <v>52092.147000000004</v>
      </c>
    </row>
    <row r="10" spans="1:5" x14ac:dyDescent="0.2">
      <c r="A10" s="53" t="s">
        <v>114</v>
      </c>
      <c r="B10" s="45">
        <v>5903580</v>
      </c>
      <c r="C10" s="45">
        <v>33608334</v>
      </c>
      <c r="E10" s="45">
        <f t="shared" si="0"/>
        <v>39511.914000000004</v>
      </c>
    </row>
    <row r="11" spans="1:5" x14ac:dyDescent="0.2">
      <c r="A11" s="53" t="s">
        <v>42</v>
      </c>
      <c r="B11" s="45">
        <v>1453520</v>
      </c>
      <c r="C11" s="45">
        <v>10560146</v>
      </c>
      <c r="E11" s="45">
        <f t="shared" si="0"/>
        <v>12013.666000000001</v>
      </c>
    </row>
    <row r="12" spans="1:5" x14ac:dyDescent="0.2">
      <c r="A12" s="53" t="s">
        <v>116</v>
      </c>
      <c r="B12" s="45">
        <v>27798394</v>
      </c>
      <c r="C12" s="45">
        <v>192195855</v>
      </c>
      <c r="E12" s="45">
        <f t="shared" si="0"/>
        <v>219994.24900000001</v>
      </c>
    </row>
    <row r="13" spans="1:5" x14ac:dyDescent="0.2">
      <c r="A13" s="53" t="s">
        <v>117</v>
      </c>
      <c r="B13" s="45">
        <v>13373052</v>
      </c>
      <c r="C13" s="45">
        <v>137534407</v>
      </c>
      <c r="E13" s="45">
        <f t="shared" si="0"/>
        <v>150907.459</v>
      </c>
    </row>
    <row r="14" spans="1:5" x14ac:dyDescent="0.2">
      <c r="A14" s="53" t="s">
        <v>118</v>
      </c>
      <c r="B14" s="45">
        <v>3339335</v>
      </c>
      <c r="C14" s="45">
        <v>14303901</v>
      </c>
      <c r="E14" s="45">
        <f t="shared" si="0"/>
        <v>17643.236000000001</v>
      </c>
    </row>
    <row r="15" spans="1:5" x14ac:dyDescent="0.2">
      <c r="A15" s="53" t="s">
        <v>119</v>
      </c>
      <c r="B15" s="45">
        <v>3572914</v>
      </c>
      <c r="C15" s="45">
        <v>20323939</v>
      </c>
      <c r="E15" s="45">
        <f t="shared" si="0"/>
        <v>23896.852999999999</v>
      </c>
    </row>
    <row r="16" spans="1:5" x14ac:dyDescent="0.2">
      <c r="A16" s="53" t="s">
        <v>120</v>
      </c>
      <c r="B16" s="45">
        <f>12211871+5586888</f>
        <v>17798759</v>
      </c>
      <c r="C16" s="45">
        <f>93430593+47769251</f>
        <v>141199844</v>
      </c>
      <c r="E16" s="45">
        <f t="shared" si="0"/>
        <v>158998.603</v>
      </c>
    </row>
    <row r="17" spans="1:5" x14ac:dyDescent="0.2">
      <c r="A17" s="53" t="s">
        <v>121</v>
      </c>
      <c r="B17" s="45">
        <v>8751190</v>
      </c>
      <c r="C17" s="45">
        <v>66480695</v>
      </c>
      <c r="E17" s="45">
        <f t="shared" si="0"/>
        <v>75231.884999999995</v>
      </c>
    </row>
    <row r="18" spans="1:5" x14ac:dyDescent="0.2">
      <c r="A18" s="53" t="s">
        <v>122</v>
      </c>
      <c r="B18" s="45">
        <v>5191251</v>
      </c>
      <c r="C18" s="45">
        <v>25389292</v>
      </c>
      <c r="E18" s="45">
        <f t="shared" si="0"/>
        <v>30580.543000000001</v>
      </c>
    </row>
    <row r="19" spans="1:5" x14ac:dyDescent="0.2">
      <c r="A19" s="53" t="s">
        <v>123</v>
      </c>
      <c r="B19" s="45">
        <v>5233112</v>
      </c>
      <c r="C19" s="45">
        <v>24331778</v>
      </c>
      <c r="E19" s="45">
        <f t="shared" si="0"/>
        <v>29564.89</v>
      </c>
    </row>
    <row r="20" spans="1:5" x14ac:dyDescent="0.2">
      <c r="A20" s="53" t="s">
        <v>124</v>
      </c>
      <c r="B20" s="45">
        <v>5510045</v>
      </c>
      <c r="C20" s="45">
        <v>45009211</v>
      </c>
      <c r="E20" s="45">
        <f t="shared" si="0"/>
        <v>50519.256000000001</v>
      </c>
    </row>
    <row r="21" spans="1:5" x14ac:dyDescent="0.2">
      <c r="A21" s="53" t="s">
        <v>125</v>
      </c>
      <c r="B21" s="45">
        <v>6421128</v>
      </c>
      <c r="C21" s="45">
        <v>67987806</v>
      </c>
      <c r="E21" s="45">
        <f t="shared" si="0"/>
        <v>74408.934000000008</v>
      </c>
    </row>
    <row r="22" spans="1:5" x14ac:dyDescent="0.2">
      <c r="A22" s="53" t="s">
        <v>0</v>
      </c>
      <c r="B22" s="45">
        <v>3796748</v>
      </c>
      <c r="C22" s="45">
        <v>10620053</v>
      </c>
      <c r="E22" s="45">
        <f t="shared" si="0"/>
        <v>14416.800999999999</v>
      </c>
    </row>
    <row r="23" spans="1:5" x14ac:dyDescent="0.2">
      <c r="A23" s="53" t="s">
        <v>1</v>
      </c>
      <c r="B23" s="45">
        <v>7814566</v>
      </c>
      <c r="C23" s="45">
        <v>61685606</v>
      </c>
      <c r="E23" s="45">
        <f t="shared" si="0"/>
        <v>69500.172000000006</v>
      </c>
    </row>
    <row r="24" spans="1:5" x14ac:dyDescent="0.2">
      <c r="A24" s="53" t="s">
        <v>2</v>
      </c>
      <c r="B24" s="45">
        <v>13180643</v>
      </c>
      <c r="C24" s="45">
        <v>60978474</v>
      </c>
      <c r="E24" s="45">
        <f t="shared" si="0"/>
        <v>74159.116999999998</v>
      </c>
    </row>
    <row r="25" spans="1:5" x14ac:dyDescent="0.2">
      <c r="A25" s="53" t="s">
        <v>3</v>
      </c>
      <c r="B25" s="45">
        <v>16823961</v>
      </c>
      <c r="C25" s="45">
        <v>91882493</v>
      </c>
      <c r="E25" s="45">
        <f t="shared" si="0"/>
        <v>108706.454</v>
      </c>
    </row>
    <row r="26" spans="1:5" x14ac:dyDescent="0.2">
      <c r="A26" s="53" t="s">
        <v>4</v>
      </c>
      <c r="B26" s="45">
        <v>9717704</v>
      </c>
      <c r="C26" s="45">
        <v>37150158</v>
      </c>
      <c r="E26" s="45">
        <f t="shared" si="0"/>
        <v>46867.862000000001</v>
      </c>
    </row>
    <row r="27" spans="1:5" x14ac:dyDescent="0.2">
      <c r="A27" s="53" t="s">
        <v>5</v>
      </c>
      <c r="B27" s="45">
        <v>5486825</v>
      </c>
      <c r="C27" s="45">
        <v>43856837</v>
      </c>
      <c r="E27" s="45">
        <f t="shared" si="0"/>
        <v>49343.662000000004</v>
      </c>
    </row>
    <row r="28" spans="1:5" x14ac:dyDescent="0.2">
      <c r="A28" s="53" t="s">
        <v>6</v>
      </c>
      <c r="B28" s="45">
        <v>9855129</v>
      </c>
      <c r="C28" s="45">
        <v>57084725</v>
      </c>
      <c r="E28" s="45">
        <f t="shared" si="0"/>
        <v>66939.854000000007</v>
      </c>
    </row>
    <row r="29" spans="1:5" x14ac:dyDescent="0.2">
      <c r="A29" s="53" t="s">
        <v>7</v>
      </c>
      <c r="B29" s="45">
        <v>2088388</v>
      </c>
      <c r="C29" s="45">
        <v>7519890</v>
      </c>
      <c r="E29" s="45">
        <f t="shared" si="0"/>
        <v>9608.2780000000002</v>
      </c>
    </row>
    <row r="30" spans="1:5" x14ac:dyDescent="0.2">
      <c r="A30" s="53" t="s">
        <v>8</v>
      </c>
      <c r="B30" s="45">
        <v>3323984</v>
      </c>
      <c r="C30" s="45">
        <v>21632337</v>
      </c>
      <c r="E30" s="45">
        <f t="shared" si="0"/>
        <v>24956.321</v>
      </c>
    </row>
    <row r="31" spans="1:5" x14ac:dyDescent="0.2">
      <c r="A31" s="53" t="s">
        <v>92</v>
      </c>
      <c r="B31" s="45">
        <v>4177123</v>
      </c>
      <c r="C31" s="45">
        <v>33641371</v>
      </c>
      <c r="E31" s="45">
        <f t="shared" si="0"/>
        <v>37818.493999999999</v>
      </c>
    </row>
    <row r="32" spans="1:5" x14ac:dyDescent="0.2">
      <c r="A32" s="53" t="s">
        <v>9</v>
      </c>
      <c r="B32" s="45">
        <v>2619798</v>
      </c>
      <c r="C32" s="45">
        <v>8453488</v>
      </c>
      <c r="E32" s="45">
        <f t="shared" si="0"/>
        <v>11073.286</v>
      </c>
    </row>
    <row r="33" spans="1:5" x14ac:dyDescent="0.2">
      <c r="A33" s="53" t="s">
        <v>10</v>
      </c>
      <c r="B33" s="45">
        <v>4584977</v>
      </c>
      <c r="C33" s="45">
        <v>76762846</v>
      </c>
      <c r="E33" s="45">
        <f t="shared" si="0"/>
        <v>81347.823000000004</v>
      </c>
    </row>
    <row r="34" spans="1:5" x14ac:dyDescent="0.2">
      <c r="A34" s="53" t="s">
        <v>11</v>
      </c>
      <c r="B34" s="45">
        <v>4041972</v>
      </c>
      <c r="C34" s="45">
        <v>35520185</v>
      </c>
      <c r="E34" s="45">
        <f t="shared" si="0"/>
        <v>39562.156999999999</v>
      </c>
    </row>
    <row r="35" spans="1:5" x14ac:dyDescent="0.2">
      <c r="A35" s="53" t="s">
        <v>12</v>
      </c>
      <c r="B35" s="45">
        <f>15758168+15691126</f>
        <v>31449294</v>
      </c>
      <c r="C35" s="45">
        <f>85789722+138880858</f>
        <v>224670580</v>
      </c>
      <c r="E35" s="45">
        <f t="shared" si="0"/>
        <v>256119.87400000001</v>
      </c>
    </row>
    <row r="36" spans="1:5" x14ac:dyDescent="0.2">
      <c r="A36" s="53" t="s">
        <v>13</v>
      </c>
      <c r="B36" s="45">
        <v>13160536</v>
      </c>
      <c r="C36" s="45">
        <v>98511513</v>
      </c>
      <c r="E36" s="45">
        <f t="shared" si="0"/>
        <v>111672.049</v>
      </c>
    </row>
    <row r="37" spans="1:5" x14ac:dyDescent="0.2">
      <c r="A37" s="53" t="s">
        <v>14</v>
      </c>
      <c r="B37" s="45">
        <v>2377799</v>
      </c>
      <c r="C37" s="45">
        <v>5765089</v>
      </c>
      <c r="E37" s="45">
        <f t="shared" si="0"/>
        <v>8142.8879999999999</v>
      </c>
    </row>
    <row r="38" spans="1:5" x14ac:dyDescent="0.2">
      <c r="A38" s="53" t="s">
        <v>15</v>
      </c>
      <c r="B38" s="45">
        <v>16164366</v>
      </c>
      <c r="C38" s="45">
        <v>99806393</v>
      </c>
      <c r="E38" s="45">
        <f t="shared" si="0"/>
        <v>115970.75900000001</v>
      </c>
    </row>
    <row r="39" spans="1:5" x14ac:dyDescent="0.2">
      <c r="A39" s="53" t="s">
        <v>16</v>
      </c>
      <c r="B39" s="45">
        <v>6907641</v>
      </c>
      <c r="C39" s="45">
        <v>57598041</v>
      </c>
      <c r="E39" s="45">
        <f t="shared" si="0"/>
        <v>64505.682000000001</v>
      </c>
    </row>
    <row r="40" spans="1:5" x14ac:dyDescent="0.2">
      <c r="A40" s="53" t="s">
        <v>17</v>
      </c>
      <c r="B40" s="45">
        <v>6287161</v>
      </c>
      <c r="C40" s="45">
        <v>32362440</v>
      </c>
      <c r="E40" s="45">
        <f t="shared" si="0"/>
        <v>38649.601000000002</v>
      </c>
    </row>
    <row r="41" spans="1:5" x14ac:dyDescent="0.2">
      <c r="A41" s="53" t="s">
        <v>18</v>
      </c>
      <c r="B41" s="45">
        <f>14872326+3156108</f>
        <v>18028434</v>
      </c>
      <c r="C41" s="45">
        <f>80904227+27621898</f>
        <v>108526125</v>
      </c>
      <c r="E41" s="45">
        <f t="shared" si="0"/>
        <v>126554.55900000001</v>
      </c>
    </row>
    <row r="42" spans="1:5" x14ac:dyDescent="0.2">
      <c r="A42" s="53" t="s">
        <v>19</v>
      </c>
      <c r="B42" s="45">
        <v>2802802</v>
      </c>
      <c r="C42" s="45">
        <v>13678455</v>
      </c>
      <c r="E42" s="45">
        <f t="shared" si="0"/>
        <v>16481.257000000001</v>
      </c>
    </row>
    <row r="43" spans="1:5" x14ac:dyDescent="0.2">
      <c r="A43" s="53" t="s">
        <v>20</v>
      </c>
      <c r="B43" s="45">
        <v>7230527</v>
      </c>
      <c r="C43" s="45">
        <v>48764745</v>
      </c>
      <c r="E43" s="45">
        <f t="shared" si="0"/>
        <v>55995.272000000004</v>
      </c>
    </row>
    <row r="44" spans="1:5" x14ac:dyDescent="0.2">
      <c r="A44" s="53" t="s">
        <v>21</v>
      </c>
      <c r="B44" s="45">
        <v>2674766</v>
      </c>
      <c r="C44" s="45">
        <v>9290611</v>
      </c>
      <c r="E44" s="45">
        <f t="shared" si="0"/>
        <v>11965.377</v>
      </c>
    </row>
    <row r="45" spans="1:5" x14ac:dyDescent="0.2">
      <c r="A45" s="53" t="s">
        <v>22</v>
      </c>
      <c r="B45" s="45">
        <v>9541057</v>
      </c>
      <c r="C45" s="45">
        <v>73231212</v>
      </c>
      <c r="E45" s="45">
        <f t="shared" si="0"/>
        <v>82772.269</v>
      </c>
    </row>
    <row r="46" spans="1:5" x14ac:dyDescent="0.2">
      <c r="A46" s="53" t="s">
        <v>23</v>
      </c>
      <c r="B46" s="45">
        <f>35484306+2476429+2847982</f>
        <v>40808717</v>
      </c>
      <c r="C46" s="45">
        <f>346691051+780730+25336064</f>
        <v>372807845</v>
      </c>
      <c r="E46" s="45">
        <f t="shared" si="0"/>
        <v>413616.56200000003</v>
      </c>
    </row>
    <row r="47" spans="1:5" x14ac:dyDescent="0.2">
      <c r="A47" s="53" t="s">
        <v>24</v>
      </c>
      <c r="B47" s="45">
        <v>5728690</v>
      </c>
      <c r="C47" s="45">
        <v>23062512</v>
      </c>
      <c r="E47" s="45">
        <f t="shared" si="0"/>
        <v>28791.202000000001</v>
      </c>
    </row>
    <row r="48" spans="1:5" x14ac:dyDescent="0.2">
      <c r="A48" s="53" t="s">
        <v>25</v>
      </c>
      <c r="B48" s="45">
        <v>2731991</v>
      </c>
      <c r="C48" s="45">
        <v>6153125</v>
      </c>
      <c r="E48" s="45">
        <f t="shared" si="0"/>
        <v>8885.116</v>
      </c>
    </row>
    <row r="49" spans="1:5" x14ac:dyDescent="0.2">
      <c r="A49" s="53" t="s">
        <v>26</v>
      </c>
      <c r="B49" s="45">
        <v>12023827</v>
      </c>
      <c r="C49" s="45">
        <v>56938856</v>
      </c>
      <c r="E49" s="45">
        <f t="shared" si="0"/>
        <v>68962.683000000005</v>
      </c>
    </row>
    <row r="50" spans="1:5" x14ac:dyDescent="0.2">
      <c r="A50" s="53" t="s">
        <v>27</v>
      </c>
      <c r="B50" s="45">
        <v>10310800</v>
      </c>
      <c r="C50" s="45">
        <v>102343898</v>
      </c>
      <c r="E50" s="45">
        <f t="shared" si="0"/>
        <v>112654.698</v>
      </c>
    </row>
    <row r="51" spans="1:5" x14ac:dyDescent="0.2">
      <c r="A51" s="53" t="s">
        <v>28</v>
      </c>
      <c r="B51" s="45">
        <v>3653389</v>
      </c>
      <c r="C51" s="45">
        <v>18005112</v>
      </c>
      <c r="E51" s="45">
        <f t="shared" si="0"/>
        <v>21658.501</v>
      </c>
    </row>
    <row r="52" spans="1:5" x14ac:dyDescent="0.2">
      <c r="A52" s="53" t="s">
        <v>29</v>
      </c>
      <c r="B52" s="45">
        <v>9089063</v>
      </c>
      <c r="C52" s="45">
        <v>46112188</v>
      </c>
      <c r="E52" s="45">
        <f t="shared" si="0"/>
        <v>55201.251000000004</v>
      </c>
    </row>
    <row r="53" spans="1:5" x14ac:dyDescent="0.2">
      <c r="A53" s="53" t="s">
        <v>30</v>
      </c>
      <c r="B53" s="45">
        <v>1745092</v>
      </c>
      <c r="C53" s="45">
        <v>5807878</v>
      </c>
      <c r="E53" s="45">
        <f t="shared" si="0"/>
        <v>7552.97</v>
      </c>
    </row>
    <row r="54" spans="1:5" x14ac:dyDescent="0.2">
      <c r="A54" s="53"/>
      <c r="B54" s="45"/>
      <c r="C54" s="45"/>
      <c r="E54" s="45"/>
    </row>
    <row r="55" spans="1:5" x14ac:dyDescent="0.2">
      <c r="A55" s="53" t="s">
        <v>32</v>
      </c>
      <c r="E55" s="45">
        <f>SUM(E4:E54)</f>
        <v>3971217.2279999992</v>
      </c>
    </row>
    <row r="57" spans="1:5" x14ac:dyDescent="0.2">
      <c r="A57" s="53" t="s">
        <v>216</v>
      </c>
      <c r="B57" s="45">
        <v>15691126</v>
      </c>
      <c r="C57" s="45">
        <v>138880858</v>
      </c>
      <c r="E57" s="45">
        <f>(+B57+C57)*0.001</f>
        <v>154571.984</v>
      </c>
    </row>
    <row r="59" spans="1:5" x14ac:dyDescent="0.2">
      <c r="A59" s="53" t="s">
        <v>201</v>
      </c>
    </row>
  </sheetData>
  <phoneticPr fontId="8"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tabColor rgb="FF00B0F0"/>
    <pageSetUpPr fitToPage="1"/>
  </sheetPr>
  <dimension ref="A1:I140"/>
  <sheetViews>
    <sheetView workbookViewId="0">
      <selection activeCell="A14" sqref="A14"/>
    </sheetView>
  </sheetViews>
  <sheetFormatPr baseColWidth="10" defaultColWidth="8.83203125" defaultRowHeight="15" x14ac:dyDescent="0.2"/>
  <cols>
    <col min="1" max="1" width="21.6640625" customWidth="1"/>
    <col min="2" max="3" width="15.6640625" style="4" customWidth="1"/>
    <col min="4" max="4" width="13.33203125" style="4" customWidth="1"/>
    <col min="5" max="5" width="18.6640625" style="4" customWidth="1"/>
    <col min="8" max="8" width="11.1640625" customWidth="1"/>
    <col min="9" max="9" width="10.5" customWidth="1"/>
  </cols>
  <sheetData>
    <row r="1" spans="1:9" x14ac:dyDescent="0.2">
      <c r="A1" s="1" t="s">
        <v>38</v>
      </c>
    </row>
    <row r="2" spans="1:9" x14ac:dyDescent="0.2">
      <c r="A2" s="2" t="s">
        <v>104</v>
      </c>
    </row>
    <row r="3" spans="1:9" s="12" customFormat="1" ht="60" x14ac:dyDescent="0.2">
      <c r="B3" s="19" t="s">
        <v>142</v>
      </c>
      <c r="C3" s="19" t="s">
        <v>103</v>
      </c>
      <c r="D3" s="19" t="s">
        <v>141</v>
      </c>
      <c r="E3" s="19" t="s">
        <v>39</v>
      </c>
      <c r="G3" s="12" t="s">
        <v>287</v>
      </c>
      <c r="H3" s="12" t="s">
        <v>288</v>
      </c>
      <c r="I3" s="12" t="s">
        <v>289</v>
      </c>
    </row>
    <row r="4" spans="1:9" x14ac:dyDescent="0.2">
      <c r="A4" s="17" t="s">
        <v>109</v>
      </c>
      <c r="B4" s="20">
        <v>11469</v>
      </c>
      <c r="C4" s="20">
        <v>0</v>
      </c>
      <c r="D4" s="20">
        <v>24741</v>
      </c>
      <c r="E4" s="4">
        <f t="shared" ref="E4:E35" si="0">SUM(B4:D4)</f>
        <v>36210</v>
      </c>
      <c r="G4" s="74">
        <v>8.9999999999999993E-3</v>
      </c>
      <c r="H4" s="4">
        <f>+E4*G4</f>
        <v>325.89</v>
      </c>
      <c r="I4" s="6">
        <f>+E4-H4</f>
        <v>35884.11</v>
      </c>
    </row>
    <row r="5" spans="1:9" x14ac:dyDescent="0.2">
      <c r="A5" s="17" t="s">
        <v>110</v>
      </c>
      <c r="B5" s="20">
        <v>1103</v>
      </c>
      <c r="C5" s="20">
        <v>41</v>
      </c>
      <c r="D5" s="20">
        <v>14766</v>
      </c>
      <c r="E5" s="4">
        <f t="shared" si="0"/>
        <v>15910</v>
      </c>
      <c r="G5" s="74">
        <v>3.7999999999999999E-2</v>
      </c>
      <c r="H5" s="4">
        <f t="shared" ref="H5:H53" si="1">+E5*G5</f>
        <v>604.58000000000004</v>
      </c>
      <c r="I5" s="6">
        <f t="shared" ref="I5:I53" si="2">+E5-H5</f>
        <v>15305.42</v>
      </c>
    </row>
    <row r="6" spans="1:9" x14ac:dyDescent="0.2">
      <c r="A6" s="17" t="s">
        <v>111</v>
      </c>
      <c r="B6" s="20">
        <v>6457</v>
      </c>
      <c r="C6" s="20">
        <v>1016</v>
      </c>
      <c r="D6" s="20">
        <v>6466</v>
      </c>
      <c r="E6" s="4">
        <f t="shared" si="0"/>
        <v>13939</v>
      </c>
      <c r="G6" s="74">
        <v>1.7999999999999999E-2</v>
      </c>
      <c r="H6" s="4">
        <f t="shared" si="1"/>
        <v>250.90199999999999</v>
      </c>
      <c r="I6" s="6">
        <f t="shared" si="2"/>
        <v>13688.098</v>
      </c>
    </row>
    <row r="7" spans="1:9" x14ac:dyDescent="0.2">
      <c r="A7" s="17" t="s">
        <v>112</v>
      </c>
      <c r="B7" s="21">
        <v>6718</v>
      </c>
      <c r="C7" s="21">
        <v>202</v>
      </c>
      <c r="D7" s="21">
        <v>6557</v>
      </c>
      <c r="E7" s="4">
        <f t="shared" si="0"/>
        <v>13477</v>
      </c>
      <c r="G7" s="74">
        <v>0.05</v>
      </c>
      <c r="H7" s="4">
        <f t="shared" si="1"/>
        <v>673.85</v>
      </c>
      <c r="I7" s="6">
        <f t="shared" si="2"/>
        <v>12803.15</v>
      </c>
    </row>
    <row r="8" spans="1:9" x14ac:dyDescent="0.2">
      <c r="A8" s="17" t="s">
        <v>113</v>
      </c>
      <c r="B8" s="21">
        <v>42239</v>
      </c>
      <c r="C8" s="21">
        <v>0</v>
      </c>
      <c r="D8" s="21">
        <v>1211417</v>
      </c>
      <c r="E8" s="4">
        <f t="shared" si="0"/>
        <v>1253656</v>
      </c>
      <c r="G8" s="74">
        <v>0.16700000000000001</v>
      </c>
      <c r="H8" s="4">
        <f t="shared" si="1"/>
        <v>209360.55200000003</v>
      </c>
      <c r="I8" s="6">
        <f t="shared" si="2"/>
        <v>1044295.448</v>
      </c>
    </row>
    <row r="9" spans="1:9" x14ac:dyDescent="0.2">
      <c r="A9" s="17" t="s">
        <v>115</v>
      </c>
      <c r="B9" s="21">
        <v>7116</v>
      </c>
      <c r="C9" s="21">
        <v>0</v>
      </c>
      <c r="D9" s="21">
        <v>5337</v>
      </c>
      <c r="E9" s="4">
        <f t="shared" si="0"/>
        <v>12453</v>
      </c>
      <c r="G9" s="74">
        <v>3.9E-2</v>
      </c>
      <c r="H9" s="4">
        <f t="shared" si="1"/>
        <v>485.66699999999997</v>
      </c>
      <c r="I9" s="6">
        <f t="shared" si="2"/>
        <v>11967.333000000001</v>
      </c>
    </row>
    <row r="10" spans="1:9" x14ac:dyDescent="0.2">
      <c r="A10" s="17" t="s">
        <v>114</v>
      </c>
      <c r="B10" s="21">
        <v>4287</v>
      </c>
      <c r="C10" s="21">
        <v>288</v>
      </c>
      <c r="D10" s="21">
        <v>6780</v>
      </c>
      <c r="E10" s="4">
        <f t="shared" si="0"/>
        <v>11355</v>
      </c>
      <c r="G10" s="74">
        <v>7.0000000000000001E-3</v>
      </c>
      <c r="H10" s="4">
        <f t="shared" si="1"/>
        <v>79.484999999999999</v>
      </c>
      <c r="I10" s="6">
        <f t="shared" si="2"/>
        <v>11275.514999999999</v>
      </c>
    </row>
    <row r="11" spans="1:9" x14ac:dyDescent="0.2">
      <c r="A11" s="17" t="s">
        <v>42</v>
      </c>
      <c r="B11" s="21">
        <v>1967</v>
      </c>
      <c r="C11" s="21">
        <v>400</v>
      </c>
      <c r="D11" s="21">
        <v>8625</v>
      </c>
      <c r="E11" s="4">
        <f t="shared" si="0"/>
        <v>10992</v>
      </c>
      <c r="G11" s="74">
        <v>0.13900000000000001</v>
      </c>
      <c r="H11" s="4">
        <f t="shared" si="1"/>
        <v>1527.8880000000001</v>
      </c>
      <c r="I11" s="6">
        <f t="shared" si="2"/>
        <v>9464.1119999999992</v>
      </c>
    </row>
    <row r="12" spans="1:9" x14ac:dyDescent="0.2">
      <c r="A12" s="17" t="s">
        <v>116</v>
      </c>
      <c r="B12" s="21">
        <v>18672</v>
      </c>
      <c r="C12" s="21">
        <v>0</v>
      </c>
      <c r="D12" s="21">
        <v>169216</v>
      </c>
      <c r="E12" s="4">
        <f t="shared" si="0"/>
        <v>187888</v>
      </c>
      <c r="G12" s="74">
        <v>0.23400000000000001</v>
      </c>
      <c r="H12" s="4">
        <f t="shared" si="1"/>
        <v>43965.792000000001</v>
      </c>
      <c r="I12" s="6">
        <f t="shared" si="2"/>
        <v>143922.20799999998</v>
      </c>
    </row>
    <row r="13" spans="1:9" x14ac:dyDescent="0.2">
      <c r="A13" s="17" t="s">
        <v>117</v>
      </c>
      <c r="B13" s="21">
        <v>15883</v>
      </c>
      <c r="C13" s="21">
        <v>0</v>
      </c>
      <c r="D13" s="21">
        <v>126369</v>
      </c>
      <c r="E13" s="4">
        <f t="shared" si="0"/>
        <v>142252</v>
      </c>
      <c r="G13" s="74">
        <v>0.20899999999999999</v>
      </c>
      <c r="H13" s="4">
        <f t="shared" si="1"/>
        <v>29730.667999999998</v>
      </c>
      <c r="I13" s="6">
        <f t="shared" si="2"/>
        <v>112521.33199999999</v>
      </c>
    </row>
    <row r="14" spans="1:9" x14ac:dyDescent="0.2">
      <c r="A14" s="17" t="s">
        <v>118</v>
      </c>
      <c r="B14" s="21">
        <v>1724</v>
      </c>
      <c r="C14" s="21">
        <v>674</v>
      </c>
      <c r="D14" s="21">
        <v>23324</v>
      </c>
      <c r="E14" s="4">
        <f t="shared" si="0"/>
        <v>25722</v>
      </c>
      <c r="G14" s="74">
        <v>9.4E-2</v>
      </c>
      <c r="H14" s="4">
        <f t="shared" si="1"/>
        <v>2417.8679999999999</v>
      </c>
      <c r="I14" s="6">
        <f t="shared" si="2"/>
        <v>23304.132000000001</v>
      </c>
    </row>
    <row r="15" spans="1:9" x14ac:dyDescent="0.2">
      <c r="A15" s="17" t="s">
        <v>119</v>
      </c>
      <c r="B15" s="21">
        <v>2786</v>
      </c>
      <c r="C15" s="21">
        <v>0</v>
      </c>
      <c r="D15" s="21">
        <v>2089</v>
      </c>
      <c r="E15" s="4">
        <f t="shared" si="0"/>
        <v>4875</v>
      </c>
      <c r="G15" s="74">
        <v>1.4999999999999999E-2</v>
      </c>
      <c r="H15" s="4">
        <f t="shared" si="1"/>
        <v>73.125</v>
      </c>
      <c r="I15" s="6">
        <f t="shared" si="2"/>
        <v>4801.875</v>
      </c>
    </row>
    <row r="16" spans="1:9" x14ac:dyDescent="0.2">
      <c r="A16" s="17" t="s">
        <v>120</v>
      </c>
      <c r="B16" s="21">
        <v>21700</v>
      </c>
      <c r="C16" s="21">
        <v>0</v>
      </c>
      <c r="D16" s="21">
        <v>27262</v>
      </c>
      <c r="E16" s="4">
        <f t="shared" si="0"/>
        <v>48962</v>
      </c>
      <c r="G16" s="74">
        <v>5.2999999999999999E-2</v>
      </c>
      <c r="H16" s="4">
        <f t="shared" si="1"/>
        <v>2594.9859999999999</v>
      </c>
      <c r="I16" s="6">
        <f t="shared" si="2"/>
        <v>46367.014000000003</v>
      </c>
    </row>
    <row r="17" spans="1:9" x14ac:dyDescent="0.2">
      <c r="A17" s="17" t="s">
        <v>121</v>
      </c>
      <c r="B17" s="21">
        <v>11566</v>
      </c>
      <c r="C17" s="21">
        <v>1986</v>
      </c>
      <c r="D17" s="21">
        <v>11707</v>
      </c>
      <c r="E17" s="4">
        <f t="shared" si="0"/>
        <v>25259</v>
      </c>
      <c r="G17" s="74">
        <v>4.8000000000000001E-2</v>
      </c>
      <c r="H17" s="4">
        <f t="shared" si="1"/>
        <v>1212.432</v>
      </c>
      <c r="I17" s="6">
        <f t="shared" si="2"/>
        <v>24046.567999999999</v>
      </c>
    </row>
    <row r="18" spans="1:9" x14ac:dyDescent="0.2">
      <c r="A18" s="17" t="s">
        <v>122</v>
      </c>
      <c r="B18" s="21">
        <v>5110</v>
      </c>
      <c r="C18" s="21">
        <v>0</v>
      </c>
      <c r="D18" s="21">
        <v>5155</v>
      </c>
      <c r="E18" s="4">
        <f t="shared" si="0"/>
        <v>10265</v>
      </c>
      <c r="G18" s="74">
        <v>5.2999999999999999E-2</v>
      </c>
      <c r="H18" s="4">
        <f t="shared" si="1"/>
        <v>544.04499999999996</v>
      </c>
      <c r="I18" s="6">
        <f t="shared" si="2"/>
        <v>9720.9549999999999</v>
      </c>
    </row>
    <row r="19" spans="1:9" x14ac:dyDescent="0.2">
      <c r="A19" s="17" t="s">
        <v>123</v>
      </c>
      <c r="B19" s="21">
        <v>4627</v>
      </c>
      <c r="C19" s="21">
        <v>0</v>
      </c>
      <c r="D19" s="21">
        <v>3563</v>
      </c>
      <c r="E19" s="4">
        <f t="shared" si="0"/>
        <v>8190</v>
      </c>
      <c r="G19" s="74">
        <v>7.2999999999999995E-2</v>
      </c>
      <c r="H19" s="4">
        <f t="shared" si="1"/>
        <v>597.87</v>
      </c>
      <c r="I19" s="6">
        <f t="shared" si="2"/>
        <v>7592.13</v>
      </c>
    </row>
    <row r="20" spans="1:9" x14ac:dyDescent="0.2">
      <c r="A20" s="17" t="s">
        <v>124</v>
      </c>
      <c r="B20" s="21">
        <v>8955</v>
      </c>
      <c r="C20" s="21">
        <v>0</v>
      </c>
      <c r="D20" s="21">
        <v>35297</v>
      </c>
      <c r="E20" s="4">
        <f t="shared" si="0"/>
        <v>44252</v>
      </c>
      <c r="G20" s="74">
        <v>4.8000000000000001E-2</v>
      </c>
      <c r="H20" s="4">
        <f t="shared" si="1"/>
        <v>2124.096</v>
      </c>
      <c r="I20" s="6">
        <f t="shared" si="2"/>
        <v>42127.904000000002</v>
      </c>
    </row>
    <row r="21" spans="1:9" x14ac:dyDescent="0.2">
      <c r="A21" s="17" t="s">
        <v>125</v>
      </c>
      <c r="B21" s="21">
        <v>12098</v>
      </c>
      <c r="C21" s="21">
        <v>0</v>
      </c>
      <c r="D21" s="21">
        <v>12874</v>
      </c>
      <c r="E21" s="4">
        <f t="shared" si="0"/>
        <v>24972</v>
      </c>
      <c r="G21" s="74">
        <v>0.223</v>
      </c>
      <c r="H21" s="4">
        <f t="shared" si="1"/>
        <v>5568.7560000000003</v>
      </c>
      <c r="I21" s="6">
        <f t="shared" si="2"/>
        <v>19403.243999999999</v>
      </c>
    </row>
    <row r="22" spans="1:9" x14ac:dyDescent="0.2">
      <c r="A22" s="17" t="s">
        <v>0</v>
      </c>
      <c r="B22" s="21">
        <v>2412</v>
      </c>
      <c r="C22" s="21">
        <v>0</v>
      </c>
      <c r="D22" s="21">
        <v>8972</v>
      </c>
      <c r="E22" s="4">
        <f t="shared" si="0"/>
        <v>11384</v>
      </c>
      <c r="G22" s="74">
        <v>7.1999999999999995E-2</v>
      </c>
      <c r="H22" s="4">
        <f t="shared" si="1"/>
        <v>819.64799999999991</v>
      </c>
      <c r="I22" s="6">
        <f t="shared" si="2"/>
        <v>10564.352000000001</v>
      </c>
    </row>
    <row r="23" spans="1:9" x14ac:dyDescent="0.2">
      <c r="A23" s="17" t="s">
        <v>1</v>
      </c>
      <c r="B23" s="21">
        <v>11749</v>
      </c>
      <c r="C23" s="21">
        <v>0</v>
      </c>
      <c r="D23" s="21">
        <v>8819</v>
      </c>
      <c r="E23" s="4">
        <f t="shared" si="0"/>
        <v>20568</v>
      </c>
      <c r="G23" s="74">
        <v>0.184</v>
      </c>
      <c r="H23" s="4">
        <f t="shared" si="1"/>
        <v>3784.5119999999997</v>
      </c>
      <c r="I23" s="6">
        <f t="shared" si="2"/>
        <v>16783.488000000001</v>
      </c>
    </row>
    <row r="24" spans="1:9" x14ac:dyDescent="0.2">
      <c r="A24" s="17" t="s">
        <v>2</v>
      </c>
      <c r="B24" s="21">
        <v>8156</v>
      </c>
      <c r="C24" s="21">
        <v>2593</v>
      </c>
      <c r="D24" s="21">
        <v>44643</v>
      </c>
      <c r="E24" s="4">
        <f t="shared" si="0"/>
        <v>55392</v>
      </c>
      <c r="G24" s="74">
        <v>2.1000000000000001E-2</v>
      </c>
      <c r="H24" s="4">
        <f t="shared" si="1"/>
        <v>1163.232</v>
      </c>
      <c r="I24" s="6">
        <f t="shared" si="2"/>
        <v>54228.767999999996</v>
      </c>
    </row>
    <row r="25" spans="1:9" x14ac:dyDescent="0.2">
      <c r="A25" s="17" t="s">
        <v>3</v>
      </c>
      <c r="B25" s="21">
        <v>18012</v>
      </c>
      <c r="C25" s="21">
        <v>0</v>
      </c>
      <c r="D25" s="21">
        <v>35440</v>
      </c>
      <c r="E25" s="4">
        <f t="shared" si="0"/>
        <v>53452</v>
      </c>
      <c r="G25" s="74">
        <v>2.5000000000000001E-2</v>
      </c>
      <c r="H25" s="4">
        <f t="shared" si="1"/>
        <v>1336.3000000000002</v>
      </c>
      <c r="I25" s="6">
        <f t="shared" si="2"/>
        <v>52115.7</v>
      </c>
    </row>
    <row r="26" spans="1:9" x14ac:dyDescent="0.2">
      <c r="A26" s="17" t="s">
        <v>4</v>
      </c>
      <c r="B26" s="21">
        <v>8940</v>
      </c>
      <c r="C26" s="21">
        <v>0</v>
      </c>
      <c r="D26" s="21">
        <v>6705</v>
      </c>
      <c r="E26" s="4">
        <f t="shared" si="0"/>
        <v>15645</v>
      </c>
      <c r="G26" s="74">
        <v>5.8999999999999997E-2</v>
      </c>
      <c r="H26" s="4">
        <f t="shared" si="1"/>
        <v>923.05499999999995</v>
      </c>
      <c r="I26" s="6">
        <f t="shared" si="2"/>
        <v>14721.945</v>
      </c>
    </row>
    <row r="27" spans="1:9" x14ac:dyDescent="0.2">
      <c r="A27" s="17" t="s">
        <v>5</v>
      </c>
      <c r="B27" s="21">
        <v>9111</v>
      </c>
      <c r="C27" s="21">
        <v>0</v>
      </c>
      <c r="D27" s="21">
        <v>9772</v>
      </c>
      <c r="E27" s="4">
        <f t="shared" si="0"/>
        <v>18883</v>
      </c>
      <c r="G27" s="74">
        <v>0.1</v>
      </c>
      <c r="H27" s="4">
        <f t="shared" si="1"/>
        <v>1888.3000000000002</v>
      </c>
      <c r="I27" s="6">
        <f t="shared" si="2"/>
        <v>16994.7</v>
      </c>
    </row>
    <row r="28" spans="1:9" x14ac:dyDescent="0.2">
      <c r="A28" s="17" t="s">
        <v>6</v>
      </c>
      <c r="B28" s="21">
        <v>10907</v>
      </c>
      <c r="C28" s="21">
        <v>0</v>
      </c>
      <c r="D28" s="21">
        <v>12043</v>
      </c>
      <c r="E28" s="4">
        <f t="shared" si="0"/>
        <v>22950</v>
      </c>
      <c r="G28" s="74">
        <v>0.1</v>
      </c>
      <c r="H28" s="4">
        <f t="shared" si="1"/>
        <v>2295</v>
      </c>
      <c r="I28" s="6">
        <f t="shared" si="2"/>
        <v>20655</v>
      </c>
    </row>
    <row r="29" spans="1:9" x14ac:dyDescent="0.2">
      <c r="A29" s="17" t="s">
        <v>7</v>
      </c>
      <c r="B29" s="21">
        <v>2431</v>
      </c>
      <c r="C29" s="21">
        <v>0</v>
      </c>
      <c r="D29" s="21">
        <v>1817</v>
      </c>
      <c r="E29" s="4">
        <f t="shared" si="0"/>
        <v>4248</v>
      </c>
      <c r="G29" s="74">
        <v>4.2000000000000003E-2</v>
      </c>
      <c r="H29" s="4">
        <f t="shared" si="1"/>
        <v>178.41600000000003</v>
      </c>
      <c r="I29" s="6">
        <f t="shared" si="2"/>
        <v>4069.5839999999998</v>
      </c>
    </row>
    <row r="30" spans="1:9" x14ac:dyDescent="0.2">
      <c r="A30" s="17" t="s">
        <v>8</v>
      </c>
      <c r="B30" s="21">
        <v>3603</v>
      </c>
      <c r="C30" s="21">
        <v>0</v>
      </c>
      <c r="D30" s="21">
        <v>2886</v>
      </c>
      <c r="E30" s="4">
        <f t="shared" si="0"/>
        <v>6489</v>
      </c>
      <c r="G30" s="74">
        <v>1.9E-2</v>
      </c>
      <c r="H30" s="4">
        <f t="shared" si="1"/>
        <v>123.291</v>
      </c>
      <c r="I30" s="6">
        <f t="shared" si="2"/>
        <v>6365.7089999999998</v>
      </c>
    </row>
    <row r="31" spans="1:9" x14ac:dyDescent="0.2">
      <c r="A31" s="17" t="s">
        <v>92</v>
      </c>
      <c r="B31" s="21">
        <v>1716</v>
      </c>
      <c r="C31" s="21">
        <v>0</v>
      </c>
      <c r="D31" s="21">
        <v>1287</v>
      </c>
      <c r="E31" s="4">
        <f t="shared" si="0"/>
        <v>3003</v>
      </c>
      <c r="G31" s="74">
        <v>7.8E-2</v>
      </c>
      <c r="H31" s="4">
        <f t="shared" si="1"/>
        <v>234.23400000000001</v>
      </c>
      <c r="I31" s="6">
        <f t="shared" si="2"/>
        <v>2768.7660000000001</v>
      </c>
    </row>
    <row r="32" spans="1:9" x14ac:dyDescent="0.2">
      <c r="A32" s="17" t="s">
        <v>9</v>
      </c>
      <c r="B32" s="21">
        <v>1977</v>
      </c>
      <c r="C32" s="21">
        <v>0</v>
      </c>
      <c r="D32" s="21">
        <v>4242</v>
      </c>
      <c r="E32" s="4">
        <f t="shared" si="0"/>
        <v>6219</v>
      </c>
      <c r="G32" s="74">
        <v>1.4E-2</v>
      </c>
      <c r="H32" s="4">
        <f t="shared" si="1"/>
        <v>87.066000000000003</v>
      </c>
      <c r="I32" s="6">
        <f t="shared" si="2"/>
        <v>6131.9340000000002</v>
      </c>
    </row>
    <row r="33" spans="1:9" x14ac:dyDescent="0.2">
      <c r="A33" s="17" t="s">
        <v>10</v>
      </c>
      <c r="B33" s="21">
        <v>11184</v>
      </c>
      <c r="C33" s="21">
        <v>0</v>
      </c>
      <c r="D33" s="21">
        <v>105252</v>
      </c>
      <c r="E33" s="4">
        <f t="shared" si="0"/>
        <v>116436</v>
      </c>
      <c r="G33" s="74">
        <v>0.191</v>
      </c>
      <c r="H33" s="4">
        <f t="shared" si="1"/>
        <v>22239.276000000002</v>
      </c>
      <c r="I33" s="6">
        <f t="shared" si="2"/>
        <v>94196.724000000002</v>
      </c>
    </row>
    <row r="34" spans="1:9" x14ac:dyDescent="0.2">
      <c r="A34" s="17" t="s">
        <v>11</v>
      </c>
      <c r="B34" s="21">
        <v>4222</v>
      </c>
      <c r="C34" s="21">
        <v>0</v>
      </c>
      <c r="D34" s="21">
        <v>3443</v>
      </c>
      <c r="E34" s="4">
        <f t="shared" si="0"/>
        <v>7665</v>
      </c>
      <c r="G34" s="74">
        <v>7.0999999999999994E-2</v>
      </c>
      <c r="H34" s="4">
        <f t="shared" si="1"/>
        <v>544.21499999999992</v>
      </c>
      <c r="I34" s="6">
        <f t="shared" si="2"/>
        <v>7120.7849999999999</v>
      </c>
    </row>
    <row r="35" spans="1:9" x14ac:dyDescent="0.2">
      <c r="A35" s="17" t="s">
        <v>12</v>
      </c>
      <c r="B35" s="21">
        <v>40037</v>
      </c>
      <c r="C35" s="21">
        <v>0</v>
      </c>
      <c r="D35" s="21">
        <v>153567</v>
      </c>
      <c r="E35" s="4">
        <f t="shared" si="0"/>
        <v>193604</v>
      </c>
      <c r="G35" s="74">
        <v>4.8000000000000001E-2</v>
      </c>
      <c r="H35" s="4">
        <f t="shared" si="1"/>
        <v>9292.9920000000002</v>
      </c>
      <c r="I35" s="6">
        <f t="shared" si="2"/>
        <v>184311.008</v>
      </c>
    </row>
    <row r="36" spans="1:9" x14ac:dyDescent="0.2">
      <c r="A36" s="17" t="s">
        <v>13</v>
      </c>
      <c r="B36" s="21">
        <v>17616</v>
      </c>
      <c r="C36" s="21">
        <v>0</v>
      </c>
      <c r="D36" s="21">
        <v>34151</v>
      </c>
      <c r="E36" s="4">
        <f t="shared" ref="E36:E53" si="3">SUM(B36:D36)</f>
        <v>51767</v>
      </c>
      <c r="G36" s="74">
        <v>0.157</v>
      </c>
      <c r="H36" s="4">
        <f t="shared" si="1"/>
        <v>8127.4189999999999</v>
      </c>
      <c r="I36" s="6">
        <f t="shared" si="2"/>
        <v>43639.580999999998</v>
      </c>
    </row>
    <row r="37" spans="1:9" x14ac:dyDescent="0.2">
      <c r="A37" s="17" t="s">
        <v>14</v>
      </c>
      <c r="B37" s="21">
        <v>1221</v>
      </c>
      <c r="C37" s="21">
        <v>606</v>
      </c>
      <c r="D37" s="21">
        <v>1325</v>
      </c>
      <c r="E37" s="4">
        <f t="shared" si="3"/>
        <v>3152</v>
      </c>
      <c r="G37" s="74">
        <v>3.6999999999999998E-2</v>
      </c>
      <c r="H37" s="4">
        <f t="shared" si="1"/>
        <v>116.624</v>
      </c>
      <c r="I37" s="6">
        <f t="shared" si="2"/>
        <v>3035.3760000000002</v>
      </c>
    </row>
    <row r="38" spans="1:9" x14ac:dyDescent="0.2">
      <c r="A38" s="17" t="s">
        <v>15</v>
      </c>
      <c r="B38" s="21">
        <v>17876</v>
      </c>
      <c r="C38" s="21">
        <v>3357</v>
      </c>
      <c r="D38" s="21">
        <v>38244</v>
      </c>
      <c r="E38" s="4">
        <f t="shared" si="3"/>
        <v>59477</v>
      </c>
      <c r="G38" s="74">
        <v>1.4E-2</v>
      </c>
      <c r="H38" s="4">
        <f t="shared" si="1"/>
        <v>832.678</v>
      </c>
      <c r="I38" s="6">
        <f t="shared" si="2"/>
        <v>58644.322</v>
      </c>
    </row>
    <row r="39" spans="1:9" x14ac:dyDescent="0.2">
      <c r="A39" s="17" t="s">
        <v>16</v>
      </c>
      <c r="B39" s="21">
        <v>7102</v>
      </c>
      <c r="C39" s="21">
        <v>0</v>
      </c>
      <c r="D39" s="21">
        <v>7085</v>
      </c>
      <c r="E39" s="4">
        <f t="shared" si="3"/>
        <v>14187</v>
      </c>
      <c r="G39" s="74">
        <v>5.7000000000000002E-2</v>
      </c>
      <c r="H39" s="4">
        <f t="shared" si="1"/>
        <v>808.65899999999999</v>
      </c>
      <c r="I39" s="6">
        <f t="shared" si="2"/>
        <v>13378.341</v>
      </c>
    </row>
    <row r="40" spans="1:9" x14ac:dyDescent="0.2">
      <c r="A40" s="17" t="s">
        <v>17</v>
      </c>
      <c r="B40" s="21">
        <v>6093</v>
      </c>
      <c r="C40" s="21">
        <v>0</v>
      </c>
      <c r="D40" s="21">
        <v>35862</v>
      </c>
      <c r="E40" s="4">
        <f t="shared" si="3"/>
        <v>41955</v>
      </c>
      <c r="G40" s="74">
        <v>2.1000000000000001E-2</v>
      </c>
      <c r="H40" s="4">
        <f t="shared" si="1"/>
        <v>881.05500000000006</v>
      </c>
      <c r="I40" s="6">
        <f t="shared" si="2"/>
        <v>41073.945</v>
      </c>
    </row>
    <row r="41" spans="1:9" x14ac:dyDescent="0.2">
      <c r="A41" s="17" t="s">
        <v>18</v>
      </c>
      <c r="B41" s="21">
        <v>23930</v>
      </c>
      <c r="C41" s="21">
        <v>0</v>
      </c>
      <c r="D41" s="21">
        <v>56293</v>
      </c>
      <c r="E41" s="4">
        <f t="shared" si="3"/>
        <v>80223</v>
      </c>
      <c r="G41" s="74">
        <v>1.2E-2</v>
      </c>
      <c r="H41" s="4">
        <f t="shared" si="1"/>
        <v>962.67600000000004</v>
      </c>
      <c r="I41" s="6">
        <f t="shared" si="2"/>
        <v>79260.323999999993</v>
      </c>
    </row>
    <row r="42" spans="1:9" x14ac:dyDescent="0.2">
      <c r="A42" s="17" t="s">
        <v>19</v>
      </c>
      <c r="B42" s="21">
        <v>853</v>
      </c>
      <c r="C42" s="21">
        <v>1390</v>
      </c>
      <c r="D42" s="21">
        <v>1681</v>
      </c>
      <c r="E42" s="4">
        <f t="shared" si="3"/>
        <v>3924</v>
      </c>
      <c r="G42" s="74">
        <v>9.5000000000000001E-2</v>
      </c>
      <c r="H42" s="4">
        <f t="shared" si="1"/>
        <v>372.78000000000003</v>
      </c>
      <c r="I42" s="6">
        <f t="shared" si="2"/>
        <v>3551.22</v>
      </c>
    </row>
    <row r="43" spans="1:9" x14ac:dyDescent="0.2">
      <c r="A43" s="17" t="s">
        <v>20</v>
      </c>
      <c r="B43" s="21">
        <v>11149</v>
      </c>
      <c r="C43" s="21">
        <v>325</v>
      </c>
      <c r="D43" s="21">
        <v>9035</v>
      </c>
      <c r="E43" s="4">
        <f t="shared" si="3"/>
        <v>20509</v>
      </c>
      <c r="G43" s="74">
        <v>0.107</v>
      </c>
      <c r="H43" s="4">
        <f t="shared" si="1"/>
        <v>2194.4629999999997</v>
      </c>
      <c r="I43" s="6">
        <f t="shared" si="2"/>
        <v>18314.537</v>
      </c>
    </row>
    <row r="44" spans="1:9" x14ac:dyDescent="0.2">
      <c r="A44" s="17" t="s">
        <v>21</v>
      </c>
      <c r="B44" s="21">
        <v>178</v>
      </c>
      <c r="C44" s="21">
        <v>2019</v>
      </c>
      <c r="D44" s="21">
        <v>1575</v>
      </c>
      <c r="E44" s="4">
        <f t="shared" si="3"/>
        <v>3772</v>
      </c>
      <c r="G44" s="74">
        <v>0.14499999999999999</v>
      </c>
      <c r="H44" s="4">
        <f t="shared" si="1"/>
        <v>546.93999999999994</v>
      </c>
      <c r="I44" s="6">
        <f t="shared" si="2"/>
        <v>3225.06</v>
      </c>
    </row>
    <row r="45" spans="1:9" x14ac:dyDescent="0.2">
      <c r="A45" s="17" t="s">
        <v>22</v>
      </c>
      <c r="B45" s="21">
        <v>4655</v>
      </c>
      <c r="C45" s="21">
        <v>0</v>
      </c>
      <c r="D45" s="21">
        <v>21966</v>
      </c>
      <c r="E45" s="4">
        <f t="shared" si="3"/>
        <v>26621</v>
      </c>
      <c r="G45" s="74">
        <v>5.1999999999999998E-2</v>
      </c>
      <c r="H45" s="4">
        <f t="shared" si="1"/>
        <v>1384.2919999999999</v>
      </c>
      <c r="I45" s="6">
        <f t="shared" si="2"/>
        <v>25236.707999999999</v>
      </c>
    </row>
    <row r="46" spans="1:9" x14ac:dyDescent="0.2">
      <c r="A46" s="17" t="s">
        <v>23</v>
      </c>
      <c r="B46" s="21">
        <v>26264</v>
      </c>
      <c r="C46" s="21">
        <v>12611</v>
      </c>
      <c r="D46" s="21">
        <v>40209</v>
      </c>
      <c r="E46" s="4">
        <f t="shared" si="3"/>
        <v>79084</v>
      </c>
      <c r="G46" s="74">
        <v>7.0000000000000001E-3</v>
      </c>
      <c r="H46" s="4">
        <f t="shared" si="1"/>
        <v>553.58799999999997</v>
      </c>
      <c r="I46" s="6">
        <f t="shared" si="2"/>
        <v>78530.411999999997</v>
      </c>
    </row>
    <row r="47" spans="1:9" x14ac:dyDescent="0.2">
      <c r="A47" s="17" t="s">
        <v>24</v>
      </c>
      <c r="B47" s="21">
        <v>5833</v>
      </c>
      <c r="C47" s="21">
        <v>1148</v>
      </c>
      <c r="D47" s="21">
        <v>12127</v>
      </c>
      <c r="E47" s="4">
        <f t="shared" si="3"/>
        <v>19108</v>
      </c>
      <c r="G47" s="74">
        <v>9.9000000000000005E-2</v>
      </c>
      <c r="H47" s="4">
        <f t="shared" si="1"/>
        <v>1891.692</v>
      </c>
      <c r="I47" s="6">
        <f t="shared" si="2"/>
        <v>17216.308000000001</v>
      </c>
    </row>
    <row r="48" spans="1:9" x14ac:dyDescent="0.2">
      <c r="A48" s="17" t="s">
        <v>25</v>
      </c>
      <c r="B48" s="21">
        <v>1676</v>
      </c>
      <c r="C48" s="21">
        <v>0</v>
      </c>
      <c r="D48" s="21">
        <v>1711</v>
      </c>
      <c r="E48" s="4">
        <f t="shared" si="3"/>
        <v>3387</v>
      </c>
      <c r="G48" s="74">
        <v>3.5000000000000003E-2</v>
      </c>
      <c r="H48" s="4">
        <f t="shared" si="1"/>
        <v>118.54500000000002</v>
      </c>
      <c r="I48" s="6">
        <f t="shared" si="2"/>
        <v>3268.4549999999999</v>
      </c>
    </row>
    <row r="49" spans="1:9" x14ac:dyDescent="0.2">
      <c r="A49" s="17" t="s">
        <v>26</v>
      </c>
      <c r="B49" s="21">
        <v>12161</v>
      </c>
      <c r="C49" s="21">
        <v>0</v>
      </c>
      <c r="D49" s="21">
        <v>9121</v>
      </c>
      <c r="E49" s="4">
        <f t="shared" si="3"/>
        <v>21282</v>
      </c>
      <c r="G49" s="74">
        <v>5.8000000000000003E-2</v>
      </c>
      <c r="H49" s="4">
        <f t="shared" si="1"/>
        <v>1234.356</v>
      </c>
      <c r="I49" s="6">
        <f t="shared" si="2"/>
        <v>20047.644</v>
      </c>
    </row>
    <row r="50" spans="1:9" x14ac:dyDescent="0.2">
      <c r="A50" s="17" t="s">
        <v>27</v>
      </c>
      <c r="B50" s="21">
        <v>8800</v>
      </c>
      <c r="C50" s="21">
        <v>0</v>
      </c>
      <c r="D50" s="21">
        <v>7574</v>
      </c>
      <c r="E50" s="4">
        <f t="shared" si="3"/>
        <v>16374</v>
      </c>
      <c r="G50" s="74">
        <v>2.7E-2</v>
      </c>
      <c r="H50" s="4">
        <f t="shared" si="1"/>
        <v>442.09800000000001</v>
      </c>
      <c r="I50" s="6">
        <f t="shared" si="2"/>
        <v>15931.902</v>
      </c>
    </row>
    <row r="51" spans="1:9" x14ac:dyDescent="0.2">
      <c r="A51" s="17" t="s">
        <v>28</v>
      </c>
      <c r="B51" s="21">
        <v>6377</v>
      </c>
      <c r="C51" s="21">
        <v>0</v>
      </c>
      <c r="D51" s="21">
        <v>10132</v>
      </c>
      <c r="E51" s="4">
        <f t="shared" si="3"/>
        <v>16509</v>
      </c>
      <c r="G51" s="74">
        <v>3.1E-2</v>
      </c>
      <c r="H51" s="4">
        <f t="shared" si="1"/>
        <v>511.779</v>
      </c>
      <c r="I51" s="6">
        <f t="shared" si="2"/>
        <v>15997.221</v>
      </c>
    </row>
    <row r="52" spans="1:9" x14ac:dyDescent="0.2">
      <c r="A52" s="17" t="s">
        <v>29</v>
      </c>
      <c r="B52" s="21">
        <v>10569</v>
      </c>
      <c r="C52" s="21">
        <v>0</v>
      </c>
      <c r="D52" s="21">
        <v>8213</v>
      </c>
      <c r="E52" s="4">
        <f t="shared" si="3"/>
        <v>18782</v>
      </c>
      <c r="G52" s="74">
        <v>2.9000000000000001E-2</v>
      </c>
      <c r="H52" s="4">
        <f t="shared" si="1"/>
        <v>544.678</v>
      </c>
      <c r="I52" s="6">
        <f t="shared" si="2"/>
        <v>18237.322</v>
      </c>
    </row>
    <row r="53" spans="1:9" x14ac:dyDescent="0.2">
      <c r="A53" s="17" t="s">
        <v>30</v>
      </c>
      <c r="B53" s="21">
        <v>1170</v>
      </c>
      <c r="C53" s="21">
        <v>0</v>
      </c>
      <c r="D53" s="21">
        <v>1691</v>
      </c>
      <c r="E53" s="4">
        <f t="shared" si="3"/>
        <v>2861</v>
      </c>
      <c r="G53" s="74">
        <v>0.04</v>
      </c>
      <c r="H53" s="4">
        <f t="shared" si="1"/>
        <v>114.44</v>
      </c>
      <c r="I53" s="6">
        <f t="shared" si="2"/>
        <v>2746.56</v>
      </c>
    </row>
    <row r="54" spans="1:9" x14ac:dyDescent="0.2">
      <c r="A54" s="17"/>
      <c r="B54" s="20"/>
      <c r="C54" s="20"/>
      <c r="D54" s="20"/>
    </row>
    <row r="55" spans="1:9" x14ac:dyDescent="0.2">
      <c r="A55" s="18" t="s">
        <v>32</v>
      </c>
      <c r="B55" s="20">
        <f>SUM(B4:B53)</f>
        <v>482457</v>
      </c>
      <c r="C55" s="20">
        <f t="shared" ref="C55:E55" si="4">SUM(C4:C53)</f>
        <v>28656</v>
      </c>
      <c r="D55" s="20">
        <f t="shared" si="4"/>
        <v>2398428</v>
      </c>
      <c r="E55" s="20">
        <f t="shared" si="4"/>
        <v>2909541</v>
      </c>
    </row>
    <row r="56" spans="1:9" x14ac:dyDescent="0.2">
      <c r="A56" s="17"/>
      <c r="B56" s="20"/>
      <c r="C56" s="20"/>
      <c r="D56" s="20"/>
    </row>
    <row r="57" spans="1:9" x14ac:dyDescent="0.2">
      <c r="A57" s="17"/>
      <c r="B57" s="20"/>
      <c r="C57" s="20"/>
      <c r="D57" s="20"/>
    </row>
    <row r="58" spans="1:9" x14ac:dyDescent="0.2">
      <c r="A58" s="17"/>
      <c r="B58" s="20"/>
      <c r="C58" s="20"/>
      <c r="D58" s="20"/>
    </row>
    <row r="59" spans="1:9" x14ac:dyDescent="0.2">
      <c r="A59" s="17"/>
      <c r="B59" s="20"/>
      <c r="C59" s="20"/>
      <c r="D59" s="20"/>
    </row>
    <row r="60" spans="1:9" x14ac:dyDescent="0.2">
      <c r="A60" s="17"/>
      <c r="B60" s="20"/>
      <c r="C60" s="20"/>
      <c r="D60" s="20"/>
    </row>
    <row r="61" spans="1:9" x14ac:dyDescent="0.2">
      <c r="A61" s="17"/>
      <c r="B61" s="20"/>
      <c r="C61" s="20"/>
      <c r="D61" s="20"/>
    </row>
    <row r="62" spans="1:9" x14ac:dyDescent="0.2">
      <c r="A62" s="17"/>
      <c r="B62" s="20"/>
      <c r="C62" s="20"/>
      <c r="D62" s="20"/>
    </row>
    <row r="63" spans="1:9" x14ac:dyDescent="0.2">
      <c r="A63" s="17"/>
      <c r="B63" s="20"/>
      <c r="C63" s="20"/>
      <c r="D63" s="20"/>
    </row>
    <row r="64" spans="1:9" x14ac:dyDescent="0.2">
      <c r="A64" s="17"/>
      <c r="B64" s="20"/>
      <c r="C64" s="20"/>
      <c r="D64" s="20"/>
    </row>
    <row r="65" spans="1:4" x14ac:dyDescent="0.2">
      <c r="A65" s="17"/>
      <c r="B65" s="20"/>
      <c r="C65" s="20"/>
      <c r="D65" s="20"/>
    </row>
    <row r="66" spans="1:4" x14ac:dyDescent="0.2">
      <c r="A66" s="17"/>
      <c r="B66" s="20"/>
      <c r="C66" s="20"/>
      <c r="D66" s="20"/>
    </row>
    <row r="67" spans="1:4" x14ac:dyDescent="0.2">
      <c r="A67" s="17"/>
      <c r="B67" s="20"/>
      <c r="C67" s="20"/>
      <c r="D67" s="20"/>
    </row>
    <row r="68" spans="1:4" x14ac:dyDescent="0.2">
      <c r="A68" s="17"/>
      <c r="B68" s="20"/>
      <c r="C68" s="20"/>
      <c r="D68" s="20"/>
    </row>
    <row r="69" spans="1:4" x14ac:dyDescent="0.2">
      <c r="A69" s="17"/>
      <c r="B69" s="20"/>
      <c r="C69" s="20"/>
      <c r="D69" s="20"/>
    </row>
    <row r="70" spans="1:4" x14ac:dyDescent="0.2">
      <c r="A70" s="17"/>
      <c r="B70" s="20"/>
      <c r="C70" s="20"/>
      <c r="D70" s="20"/>
    </row>
    <row r="71" spans="1:4" x14ac:dyDescent="0.2">
      <c r="A71" s="17"/>
      <c r="B71" s="20"/>
      <c r="C71" s="20"/>
      <c r="D71" s="20"/>
    </row>
    <row r="72" spans="1:4" x14ac:dyDescent="0.2">
      <c r="A72" s="17"/>
      <c r="B72" s="20"/>
      <c r="C72" s="20"/>
      <c r="D72" s="20"/>
    </row>
    <row r="73" spans="1:4" x14ac:dyDescent="0.2">
      <c r="A73" s="17"/>
      <c r="B73" s="20"/>
      <c r="C73" s="20"/>
      <c r="D73" s="20"/>
    </row>
    <row r="74" spans="1:4" x14ac:dyDescent="0.2">
      <c r="A74" s="17"/>
      <c r="B74" s="20"/>
      <c r="C74" s="20"/>
      <c r="D74" s="20"/>
    </row>
    <row r="75" spans="1:4" x14ac:dyDescent="0.2">
      <c r="A75" s="17"/>
      <c r="B75" s="20"/>
      <c r="C75" s="20"/>
      <c r="D75" s="20"/>
    </row>
    <row r="76" spans="1:4" x14ac:dyDescent="0.2">
      <c r="A76" s="17"/>
      <c r="B76" s="20"/>
      <c r="C76" s="20"/>
      <c r="D76" s="20"/>
    </row>
    <row r="77" spans="1:4" x14ac:dyDescent="0.2">
      <c r="A77" s="17"/>
      <c r="B77" s="20"/>
      <c r="C77" s="20"/>
      <c r="D77" s="20"/>
    </row>
    <row r="78" spans="1:4" x14ac:dyDescent="0.2">
      <c r="A78" s="17"/>
      <c r="B78" s="20"/>
      <c r="C78" s="20"/>
      <c r="D78" s="20"/>
    </row>
    <row r="79" spans="1:4" x14ac:dyDescent="0.2">
      <c r="A79" s="17"/>
      <c r="B79" s="20"/>
      <c r="C79" s="20"/>
      <c r="D79" s="20"/>
    </row>
    <row r="80" spans="1:4" x14ac:dyDescent="0.2">
      <c r="A80" s="17"/>
      <c r="B80" s="20"/>
      <c r="C80" s="20"/>
      <c r="D80" s="20"/>
    </row>
    <row r="81" spans="1:4" x14ac:dyDescent="0.2">
      <c r="A81" s="17"/>
      <c r="B81" s="20"/>
      <c r="C81" s="20"/>
      <c r="D81" s="20"/>
    </row>
    <row r="82" spans="1:4" x14ac:dyDescent="0.2">
      <c r="A82" s="17"/>
      <c r="B82" s="20"/>
      <c r="C82" s="20"/>
      <c r="D82" s="20"/>
    </row>
    <row r="83" spans="1:4" x14ac:dyDescent="0.2">
      <c r="A83" s="17"/>
      <c r="B83" s="20"/>
      <c r="C83" s="20"/>
      <c r="D83" s="20"/>
    </row>
    <row r="84" spans="1:4" x14ac:dyDescent="0.2">
      <c r="A84" s="17"/>
      <c r="B84" s="20"/>
      <c r="C84" s="20"/>
      <c r="D84" s="20"/>
    </row>
    <row r="85" spans="1:4" x14ac:dyDescent="0.2">
      <c r="A85" s="17"/>
      <c r="B85" s="20"/>
      <c r="C85" s="20"/>
      <c r="D85" s="20"/>
    </row>
    <row r="86" spans="1:4" x14ac:dyDescent="0.2">
      <c r="A86" s="17"/>
      <c r="B86" s="20"/>
      <c r="C86" s="20"/>
      <c r="D86" s="20"/>
    </row>
    <row r="87" spans="1:4" x14ac:dyDescent="0.2">
      <c r="A87" s="17"/>
      <c r="B87" s="20"/>
      <c r="C87" s="20"/>
      <c r="D87" s="20"/>
    </row>
    <row r="88" spans="1:4" x14ac:dyDescent="0.2">
      <c r="A88" s="17"/>
      <c r="B88" s="20"/>
      <c r="C88" s="20"/>
      <c r="D88" s="20"/>
    </row>
    <row r="89" spans="1:4" x14ac:dyDescent="0.2">
      <c r="A89" s="17"/>
      <c r="B89" s="20"/>
      <c r="C89" s="20"/>
      <c r="D89" s="20"/>
    </row>
    <row r="90" spans="1:4" x14ac:dyDescent="0.2">
      <c r="A90" s="17"/>
      <c r="B90" s="20"/>
      <c r="C90" s="20"/>
      <c r="D90" s="20"/>
    </row>
    <row r="91" spans="1:4" x14ac:dyDescent="0.2">
      <c r="A91" s="17"/>
      <c r="B91" s="20"/>
      <c r="C91" s="20"/>
      <c r="D91" s="20"/>
    </row>
    <row r="92" spans="1:4" x14ac:dyDescent="0.2">
      <c r="A92" s="17"/>
      <c r="B92" s="20"/>
      <c r="C92" s="20"/>
      <c r="D92" s="20"/>
    </row>
    <row r="93" spans="1:4" x14ac:dyDescent="0.2">
      <c r="A93" s="17"/>
      <c r="B93" s="20"/>
      <c r="C93" s="20"/>
      <c r="D93" s="20"/>
    </row>
    <row r="94" spans="1:4" x14ac:dyDescent="0.2">
      <c r="A94" s="17"/>
      <c r="B94" s="20"/>
      <c r="C94" s="20"/>
      <c r="D94" s="20"/>
    </row>
    <row r="95" spans="1:4" x14ac:dyDescent="0.2">
      <c r="A95" s="17"/>
      <c r="B95" s="20"/>
      <c r="C95" s="20"/>
      <c r="D95" s="20"/>
    </row>
    <row r="96" spans="1:4" x14ac:dyDescent="0.2">
      <c r="A96" s="17"/>
      <c r="B96" s="20"/>
      <c r="C96" s="20"/>
      <c r="D96" s="20"/>
    </row>
    <row r="97" spans="1:4" x14ac:dyDescent="0.2">
      <c r="A97" s="17"/>
      <c r="B97" s="20"/>
      <c r="C97" s="20"/>
      <c r="D97" s="20"/>
    </row>
    <row r="98" spans="1:4" x14ac:dyDescent="0.2">
      <c r="A98" s="17"/>
      <c r="B98" s="20"/>
      <c r="C98" s="20"/>
      <c r="D98" s="20"/>
    </row>
    <row r="99" spans="1:4" x14ac:dyDescent="0.2">
      <c r="A99" s="17"/>
      <c r="B99" s="20"/>
      <c r="C99" s="20"/>
      <c r="D99" s="20"/>
    </row>
    <row r="100" spans="1:4" x14ac:dyDescent="0.2">
      <c r="A100" s="17"/>
      <c r="B100" s="20"/>
      <c r="C100" s="20"/>
      <c r="D100" s="20"/>
    </row>
    <row r="101" spans="1:4" x14ac:dyDescent="0.2">
      <c r="A101" s="17"/>
      <c r="B101" s="20"/>
      <c r="C101" s="20"/>
      <c r="D101" s="20"/>
    </row>
    <row r="102" spans="1:4" x14ac:dyDescent="0.2">
      <c r="A102" s="17"/>
      <c r="B102" s="20"/>
      <c r="C102" s="20"/>
      <c r="D102" s="20"/>
    </row>
    <row r="103" spans="1:4" x14ac:dyDescent="0.2">
      <c r="A103" s="17"/>
      <c r="B103" s="20"/>
      <c r="C103" s="20"/>
      <c r="D103" s="20"/>
    </row>
    <row r="104" spans="1:4" x14ac:dyDescent="0.2">
      <c r="A104" s="17"/>
      <c r="B104" s="20"/>
      <c r="C104" s="20"/>
      <c r="D104" s="20"/>
    </row>
    <row r="105" spans="1:4" x14ac:dyDescent="0.2">
      <c r="A105" s="17"/>
      <c r="B105" s="20"/>
      <c r="C105" s="20"/>
      <c r="D105" s="20"/>
    </row>
    <row r="106" spans="1:4" x14ac:dyDescent="0.2">
      <c r="A106" s="17"/>
      <c r="B106" s="20"/>
      <c r="C106" s="20"/>
      <c r="D106" s="20"/>
    </row>
    <row r="107" spans="1:4" x14ac:dyDescent="0.2">
      <c r="A107" s="17"/>
      <c r="B107" s="20"/>
      <c r="C107" s="20"/>
      <c r="D107" s="20"/>
    </row>
    <row r="108" spans="1:4" x14ac:dyDescent="0.2">
      <c r="A108" s="17"/>
      <c r="B108" s="20"/>
      <c r="C108" s="20"/>
      <c r="D108" s="20"/>
    </row>
    <row r="109" spans="1:4" x14ac:dyDescent="0.2">
      <c r="A109" s="17"/>
      <c r="B109" s="20"/>
      <c r="C109" s="20"/>
      <c r="D109" s="20"/>
    </row>
    <row r="110" spans="1:4" x14ac:dyDescent="0.2">
      <c r="A110" s="17"/>
      <c r="B110" s="20"/>
      <c r="C110" s="20"/>
      <c r="D110" s="20"/>
    </row>
    <row r="111" spans="1:4" x14ac:dyDescent="0.2">
      <c r="A111" s="17"/>
      <c r="B111" s="20"/>
      <c r="C111" s="20"/>
      <c r="D111" s="20"/>
    </row>
    <row r="112" spans="1:4" x14ac:dyDescent="0.2">
      <c r="A112" s="17"/>
      <c r="B112" s="20"/>
      <c r="C112" s="20"/>
      <c r="D112" s="20"/>
    </row>
    <row r="113" spans="1:4" x14ac:dyDescent="0.2">
      <c r="A113" s="17"/>
      <c r="B113" s="20"/>
      <c r="C113" s="20"/>
      <c r="D113" s="20"/>
    </row>
    <row r="114" spans="1:4" x14ac:dyDescent="0.2">
      <c r="A114" s="17"/>
      <c r="B114" s="20"/>
      <c r="C114" s="20"/>
      <c r="D114" s="20"/>
    </row>
    <row r="115" spans="1:4" x14ac:dyDescent="0.2">
      <c r="A115" s="17"/>
      <c r="B115" s="20"/>
      <c r="C115" s="20"/>
      <c r="D115" s="20"/>
    </row>
    <row r="116" spans="1:4" x14ac:dyDescent="0.2">
      <c r="A116" s="17"/>
      <c r="B116" s="20"/>
      <c r="C116" s="20"/>
      <c r="D116" s="20"/>
    </row>
    <row r="117" spans="1:4" x14ac:dyDescent="0.2">
      <c r="A117" s="17"/>
      <c r="B117" s="20"/>
      <c r="C117" s="20"/>
      <c r="D117" s="20"/>
    </row>
    <row r="118" spans="1:4" x14ac:dyDescent="0.2">
      <c r="A118" s="17"/>
      <c r="B118" s="20"/>
      <c r="C118" s="20"/>
      <c r="D118" s="20"/>
    </row>
    <row r="119" spans="1:4" x14ac:dyDescent="0.2">
      <c r="A119" s="17"/>
      <c r="B119" s="20"/>
      <c r="C119" s="20"/>
      <c r="D119" s="20"/>
    </row>
    <row r="120" spans="1:4" x14ac:dyDescent="0.2">
      <c r="A120" s="17"/>
      <c r="B120" s="20"/>
      <c r="C120" s="20"/>
      <c r="D120" s="20"/>
    </row>
    <row r="121" spans="1:4" x14ac:dyDescent="0.2">
      <c r="A121" s="17"/>
      <c r="B121" s="20"/>
      <c r="C121" s="20"/>
      <c r="D121" s="20"/>
    </row>
    <row r="122" spans="1:4" x14ac:dyDescent="0.2">
      <c r="A122" s="17"/>
      <c r="B122" s="20"/>
      <c r="C122" s="20"/>
      <c r="D122" s="20"/>
    </row>
    <row r="123" spans="1:4" x14ac:dyDescent="0.2">
      <c r="A123" s="17"/>
      <c r="B123" s="20"/>
      <c r="C123" s="20"/>
      <c r="D123" s="20"/>
    </row>
    <row r="124" spans="1:4" x14ac:dyDescent="0.2">
      <c r="A124" s="17"/>
      <c r="B124" s="20"/>
      <c r="C124" s="20"/>
      <c r="D124" s="20"/>
    </row>
    <row r="125" spans="1:4" x14ac:dyDescent="0.2">
      <c r="A125" s="17"/>
      <c r="B125" s="20"/>
      <c r="C125" s="20"/>
      <c r="D125" s="20"/>
    </row>
    <row r="126" spans="1:4" x14ac:dyDescent="0.2">
      <c r="A126" s="17"/>
      <c r="B126" s="20"/>
      <c r="C126" s="20"/>
      <c r="D126" s="20"/>
    </row>
    <row r="127" spans="1:4" x14ac:dyDescent="0.2">
      <c r="A127" s="17"/>
      <c r="B127" s="20"/>
      <c r="C127" s="20"/>
      <c r="D127" s="20"/>
    </row>
    <row r="128" spans="1:4" x14ac:dyDescent="0.2">
      <c r="A128" s="17"/>
      <c r="B128" s="20"/>
      <c r="C128" s="20"/>
      <c r="D128" s="20"/>
    </row>
    <row r="129" spans="1:4" x14ac:dyDescent="0.2">
      <c r="A129" s="17"/>
      <c r="B129" s="20"/>
      <c r="C129" s="20"/>
      <c r="D129" s="20"/>
    </row>
    <row r="130" spans="1:4" x14ac:dyDescent="0.2">
      <c r="A130" s="17"/>
      <c r="B130" s="20"/>
      <c r="C130" s="20"/>
      <c r="D130" s="20"/>
    </row>
    <row r="131" spans="1:4" x14ac:dyDescent="0.2">
      <c r="A131" s="17"/>
      <c r="B131" s="20"/>
      <c r="C131" s="20"/>
      <c r="D131" s="20"/>
    </row>
    <row r="132" spans="1:4" x14ac:dyDescent="0.2">
      <c r="A132" s="17"/>
      <c r="B132" s="20"/>
      <c r="C132" s="20"/>
      <c r="D132" s="20"/>
    </row>
    <row r="133" spans="1:4" x14ac:dyDescent="0.2">
      <c r="A133" s="17"/>
      <c r="B133" s="20"/>
      <c r="C133" s="20"/>
      <c r="D133" s="20"/>
    </row>
    <row r="134" spans="1:4" x14ac:dyDescent="0.2">
      <c r="A134" s="17"/>
      <c r="B134" s="20"/>
      <c r="C134" s="20"/>
      <c r="D134" s="20"/>
    </row>
    <row r="135" spans="1:4" x14ac:dyDescent="0.2">
      <c r="A135" s="17"/>
      <c r="B135" s="20"/>
      <c r="C135" s="20"/>
      <c r="D135" s="20"/>
    </row>
    <row r="136" spans="1:4" x14ac:dyDescent="0.2">
      <c r="A136" s="17"/>
      <c r="B136" s="20"/>
      <c r="C136" s="20"/>
      <c r="D136" s="20"/>
    </row>
    <row r="137" spans="1:4" x14ac:dyDescent="0.2">
      <c r="A137" s="17"/>
      <c r="B137" s="20"/>
      <c r="C137" s="20"/>
      <c r="D137" s="20"/>
    </row>
    <row r="138" spans="1:4" x14ac:dyDescent="0.2">
      <c r="A138" s="17"/>
      <c r="B138" s="20"/>
      <c r="C138" s="20"/>
      <c r="D138" s="20"/>
    </row>
    <row r="139" spans="1:4" x14ac:dyDescent="0.2">
      <c r="A139" s="17"/>
      <c r="B139" s="20"/>
      <c r="C139" s="20"/>
      <c r="D139" s="20"/>
    </row>
    <row r="140" spans="1:4" x14ac:dyDescent="0.2">
      <c r="A140" s="17"/>
      <c r="B140" s="20"/>
      <c r="C140" s="20"/>
      <c r="D140" s="20"/>
    </row>
  </sheetData>
  <phoneticPr fontId="8" type="noConversion"/>
  <pageMargins left="0.7" right="0.7" top="0.75" bottom="0.75" header="0.3" footer="0.3"/>
  <ignoredErrors>
    <ignoredError sqref="E4:E5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tabColor rgb="FFCCFF33"/>
    <pageSetUpPr fitToPage="1"/>
  </sheetPr>
  <dimension ref="A1:T56"/>
  <sheetViews>
    <sheetView topLeftCell="I32" workbookViewId="0">
      <selection activeCell="F1" sqref="F1"/>
    </sheetView>
  </sheetViews>
  <sheetFormatPr baseColWidth="10" defaultColWidth="8.83203125" defaultRowHeight="15" x14ac:dyDescent="0.2"/>
  <cols>
    <col min="1" max="1" width="17" customWidth="1"/>
    <col min="2" max="19" width="12.6640625" customWidth="1"/>
    <col min="20" max="20" width="16.33203125" customWidth="1"/>
  </cols>
  <sheetData>
    <row r="1" spans="1:20" s="119" customFormat="1" ht="120" customHeight="1" thickBot="1" x14ac:dyDescent="0.25">
      <c r="A1" s="115"/>
      <c r="B1" s="116" t="str">
        <f>+Summary!B1</f>
        <v>K-12 Educ</v>
      </c>
      <c r="C1" s="116" t="str">
        <f>+Summary!C1</f>
        <v>Preschool</v>
      </c>
      <c r="D1" s="116" t="str">
        <f>+Summary!D1</f>
        <v>Head Start &amp; Early Intervention</v>
      </c>
      <c r="E1" s="116" t="str">
        <f>+Summary!E1</f>
        <v>Medicaid (including costs of disabled children)</v>
      </c>
      <c r="F1" s="116" t="str">
        <f>+Summary!F1</f>
        <v>CHIP</v>
      </c>
      <c r="G1" s="116" t="str">
        <f>+Summary!G1</f>
        <v>Mental Health Programs</v>
      </c>
      <c r="H1" s="116" t="str">
        <f>+Summary!H1</f>
        <v>Immun-izations</v>
      </c>
      <c r="I1" s="116" t="str">
        <f>+Summary!I1</f>
        <v>Maternal &amp; Child Health Block Grant</v>
      </c>
      <c r="J1" s="116" t="str">
        <f>+Summary!J1</f>
        <v>Foster Care, Adoption Assistance, Guardianship (Title IV-E)</v>
      </c>
      <c r="K1" s="116" t="str">
        <f>+Summary!K1</f>
        <v xml:space="preserve">Child Welfare State and Local Share </v>
      </c>
      <c r="L1" s="116" t="str">
        <f>+Summary!L1</f>
        <v>Child Care &amp; Dev Fund</v>
      </c>
      <c r="M1" s="116" t="str">
        <f>+Summary!M1</f>
        <v>Child Welfare Services &amp; Promoting Safe and Stable Families           Title IV-B</v>
      </c>
      <c r="N1" s="116" t="str">
        <f>+Summary!N1</f>
        <v>Child Support Enforcement    Title IV-D</v>
      </c>
      <c r="O1" s="116" t="str">
        <f>+Summary!O1</f>
        <v>Child Welfare - TITLE XX</v>
      </c>
      <c r="P1" s="116" t="str">
        <f>+Summary!P1</f>
        <v>TANF</v>
      </c>
      <c r="Q1" s="116" t="str">
        <f>+Summary!Q1</f>
        <v>Nutrition (SNAP, WIC, CACFP)</v>
      </c>
      <c r="R1" s="116" t="str">
        <f>+Summary!R1</f>
        <v>Juvenile Justice</v>
      </c>
      <c r="S1" s="116" t="str">
        <f>+Summary!S1</f>
        <v>Tax Credits</v>
      </c>
      <c r="T1" s="116" t="str">
        <f>+Summary!T1</f>
        <v>Total</v>
      </c>
    </row>
    <row r="4" spans="1:20" x14ac:dyDescent="0.2">
      <c r="A4" s="41" t="s">
        <v>109</v>
      </c>
      <c r="B4" s="41"/>
      <c r="C4" s="41"/>
      <c r="D4" s="41"/>
      <c r="E4" s="41"/>
      <c r="F4" s="41"/>
      <c r="G4" s="41"/>
      <c r="H4" s="41"/>
      <c r="I4" s="35">
        <f>+MCHBG!H4</f>
        <v>325.89</v>
      </c>
      <c r="J4" s="41"/>
      <c r="K4" s="41"/>
      <c r="L4" s="41"/>
      <c r="M4" s="41"/>
      <c r="N4" s="41"/>
      <c r="O4" s="41"/>
      <c r="P4" s="41"/>
      <c r="Q4" s="35">
        <f>+Nutrition!J4*Nutrition!Y4</f>
        <v>56392.076000000001</v>
      </c>
      <c r="R4" s="41"/>
      <c r="S4" s="41"/>
      <c r="T4" s="86">
        <f>SUM(B4:S4)</f>
        <v>56717.966</v>
      </c>
    </row>
    <row r="5" spans="1:20" x14ac:dyDescent="0.2">
      <c r="A5" s="41" t="s">
        <v>110</v>
      </c>
      <c r="B5" s="41"/>
      <c r="C5" s="41"/>
      <c r="D5" s="41"/>
      <c r="E5" s="41"/>
      <c r="F5" s="41"/>
      <c r="G5" s="41"/>
      <c r="H5" s="41"/>
      <c r="I5" s="35">
        <f>+MCHBG!H5</f>
        <v>604.58000000000004</v>
      </c>
      <c r="J5" s="41"/>
      <c r="K5" s="41"/>
      <c r="L5" s="41"/>
      <c r="M5" s="41"/>
      <c r="N5" s="41"/>
      <c r="O5" s="41"/>
      <c r="P5" s="41"/>
      <c r="Q5" s="35">
        <f>+Nutrition!J5*Nutrition!Y5</f>
        <v>10704.834000000001</v>
      </c>
      <c r="R5" s="41"/>
      <c r="S5" s="41"/>
      <c r="T5" s="86">
        <f t="shared" ref="T5:T53" si="0">SUM(B5:S5)</f>
        <v>11309.414000000001</v>
      </c>
    </row>
    <row r="6" spans="1:20" x14ac:dyDescent="0.2">
      <c r="A6" s="41" t="s">
        <v>111</v>
      </c>
      <c r="B6" s="41"/>
      <c r="C6" s="41"/>
      <c r="D6" s="41"/>
      <c r="E6" s="41"/>
      <c r="F6" s="41"/>
      <c r="G6" s="41"/>
      <c r="H6" s="41"/>
      <c r="I6" s="35">
        <f>+MCHBG!H6</f>
        <v>250.90199999999999</v>
      </c>
      <c r="J6" s="41"/>
      <c r="K6" s="41"/>
      <c r="L6" s="41"/>
      <c r="M6" s="41"/>
      <c r="N6" s="41"/>
      <c r="O6" s="41"/>
      <c r="P6" s="41"/>
      <c r="Q6" s="35">
        <f>+Nutrition!J6*Nutrition!Y6</f>
        <v>39571.025000000001</v>
      </c>
      <c r="R6" s="41"/>
      <c r="S6" s="41"/>
      <c r="T6" s="86">
        <f t="shared" si="0"/>
        <v>39821.927000000003</v>
      </c>
    </row>
    <row r="7" spans="1:20" x14ac:dyDescent="0.2">
      <c r="A7" s="41" t="s">
        <v>112</v>
      </c>
      <c r="B7" s="41"/>
      <c r="C7" s="41"/>
      <c r="D7" s="41"/>
      <c r="E7" s="41"/>
      <c r="F7" s="41"/>
      <c r="G7" s="41"/>
      <c r="H7" s="41"/>
      <c r="I7" s="35">
        <f>+MCHBG!H7</f>
        <v>673.85</v>
      </c>
      <c r="J7" s="41"/>
      <c r="K7" s="41"/>
      <c r="L7" s="41"/>
      <c r="M7" s="41"/>
      <c r="N7" s="41"/>
      <c r="O7" s="41"/>
      <c r="P7" s="41"/>
      <c r="Q7" s="35">
        <f>+Nutrition!J7*Nutrition!Y7</f>
        <v>32375.104000000003</v>
      </c>
      <c r="R7" s="41"/>
      <c r="S7" s="41"/>
      <c r="T7" s="86">
        <f t="shared" si="0"/>
        <v>33048.954000000005</v>
      </c>
    </row>
    <row r="8" spans="1:20" x14ac:dyDescent="0.2">
      <c r="A8" s="41" t="s">
        <v>113</v>
      </c>
      <c r="B8" s="41"/>
      <c r="C8" s="41"/>
      <c r="D8" s="41"/>
      <c r="E8" s="41"/>
      <c r="F8" s="41"/>
      <c r="G8" s="41"/>
      <c r="H8" s="41"/>
      <c r="I8" s="35">
        <f>+MCHBG!H8</f>
        <v>209360.55200000003</v>
      </c>
      <c r="J8" s="41"/>
      <c r="K8" s="41"/>
      <c r="L8" s="41"/>
      <c r="M8" s="41"/>
      <c r="N8" s="41"/>
      <c r="O8" s="41"/>
      <c r="P8" s="41"/>
      <c r="Q8" s="35">
        <f>+Nutrition!J8*Nutrition!Y8</f>
        <v>509130.60800000001</v>
      </c>
      <c r="R8" s="41"/>
      <c r="S8" s="41"/>
      <c r="T8" s="86">
        <f t="shared" si="0"/>
        <v>718491.16</v>
      </c>
    </row>
    <row r="9" spans="1:20" x14ac:dyDescent="0.2">
      <c r="A9" s="41" t="s">
        <v>115</v>
      </c>
      <c r="B9" s="41"/>
      <c r="C9" s="41"/>
      <c r="D9" s="41"/>
      <c r="E9" s="41"/>
      <c r="F9" s="41"/>
      <c r="G9" s="41"/>
      <c r="H9" s="41"/>
      <c r="I9" s="35">
        <f>+MCHBG!H9</f>
        <v>485.66699999999997</v>
      </c>
      <c r="J9" s="41"/>
      <c r="K9" s="41"/>
      <c r="L9" s="41"/>
      <c r="M9" s="41"/>
      <c r="N9" s="41"/>
      <c r="O9" s="41"/>
      <c r="P9" s="41"/>
      <c r="Q9" s="35">
        <f>+Nutrition!J9*Nutrition!Y9</f>
        <v>30296.856</v>
      </c>
      <c r="R9" s="41"/>
      <c r="S9" s="41"/>
      <c r="T9" s="86">
        <f t="shared" si="0"/>
        <v>30782.523000000001</v>
      </c>
    </row>
    <row r="10" spans="1:20" x14ac:dyDescent="0.2">
      <c r="A10" s="41" t="s">
        <v>114</v>
      </c>
      <c r="B10" s="41"/>
      <c r="C10" s="41"/>
      <c r="D10" s="41"/>
      <c r="E10" s="41"/>
      <c r="F10" s="41"/>
      <c r="G10" s="41"/>
      <c r="H10" s="41"/>
      <c r="I10" s="35">
        <f>+MCHBG!H10</f>
        <v>79.484999999999999</v>
      </c>
      <c r="J10" s="41"/>
      <c r="K10" s="41"/>
      <c r="L10" s="41"/>
      <c r="M10" s="41"/>
      <c r="N10" s="41"/>
      <c r="O10" s="41"/>
      <c r="P10" s="41"/>
      <c r="Q10" s="35">
        <f>+Nutrition!J10*Nutrition!Y10</f>
        <v>24648.16</v>
      </c>
      <c r="R10" s="41"/>
      <c r="S10" s="41"/>
      <c r="T10" s="86">
        <f t="shared" si="0"/>
        <v>24727.645</v>
      </c>
    </row>
    <row r="11" spans="1:20" x14ac:dyDescent="0.2">
      <c r="A11" s="41" t="s">
        <v>42</v>
      </c>
      <c r="B11" s="41"/>
      <c r="C11" s="41"/>
      <c r="D11" s="41"/>
      <c r="E11" s="41"/>
      <c r="F11" s="41"/>
      <c r="G11" s="41"/>
      <c r="H11" s="41"/>
      <c r="I11" s="35">
        <f>+MCHBG!H11</f>
        <v>1527.8880000000001</v>
      </c>
      <c r="J11" s="41"/>
      <c r="K11" s="41"/>
      <c r="L11" s="41"/>
      <c r="M11" s="41"/>
      <c r="N11" s="41"/>
      <c r="O11" s="41"/>
      <c r="P11" s="41"/>
      <c r="Q11" s="35">
        <f>+Nutrition!J11*Nutrition!Y11</f>
        <v>7443.308</v>
      </c>
      <c r="R11" s="41"/>
      <c r="S11" s="41"/>
      <c r="T11" s="86">
        <f t="shared" si="0"/>
        <v>8971.1959999999999</v>
      </c>
    </row>
    <row r="12" spans="1:20" x14ac:dyDescent="0.2">
      <c r="A12" s="41" t="s">
        <v>116</v>
      </c>
      <c r="B12" s="41"/>
      <c r="C12" s="41"/>
      <c r="D12" s="41"/>
      <c r="E12" s="41"/>
      <c r="F12" s="41"/>
      <c r="G12" s="41"/>
      <c r="H12" s="41"/>
      <c r="I12" s="35">
        <f>+MCHBG!H12</f>
        <v>43965.792000000001</v>
      </c>
      <c r="J12" s="41"/>
      <c r="K12" s="41"/>
      <c r="L12" s="41"/>
      <c r="M12" s="41"/>
      <c r="N12" s="41"/>
      <c r="O12" s="41"/>
      <c r="P12" s="41"/>
      <c r="Q12" s="35">
        <f>+Nutrition!J12*Nutrition!Y12</f>
        <v>152254.64600000001</v>
      </c>
      <c r="R12" s="41"/>
      <c r="S12" s="41"/>
      <c r="T12" s="86">
        <f t="shared" si="0"/>
        <v>196220.43800000002</v>
      </c>
    </row>
    <row r="13" spans="1:20" x14ac:dyDescent="0.2">
      <c r="A13" s="41" t="s">
        <v>117</v>
      </c>
      <c r="B13" s="41"/>
      <c r="C13" s="41"/>
      <c r="D13" s="41"/>
      <c r="E13" s="41"/>
      <c r="F13" s="41"/>
      <c r="G13" s="41"/>
      <c r="H13" s="41"/>
      <c r="I13" s="35">
        <f>+MCHBG!H13</f>
        <v>29730.667999999998</v>
      </c>
      <c r="J13" s="41"/>
      <c r="K13" s="41"/>
      <c r="L13" s="41"/>
      <c r="M13" s="41"/>
      <c r="N13" s="41"/>
      <c r="O13" s="41"/>
      <c r="P13" s="41"/>
      <c r="Q13" s="35">
        <f>+Nutrition!J13*Nutrition!Y13</f>
        <v>129571.552</v>
      </c>
      <c r="R13" s="41"/>
      <c r="S13" s="41"/>
      <c r="T13" s="86">
        <f t="shared" si="0"/>
        <v>159302.22</v>
      </c>
    </row>
    <row r="14" spans="1:20" x14ac:dyDescent="0.2">
      <c r="A14" s="41" t="s">
        <v>118</v>
      </c>
      <c r="B14" s="41"/>
      <c r="C14" s="41"/>
      <c r="D14" s="41"/>
      <c r="E14" s="41"/>
      <c r="F14" s="41"/>
      <c r="G14" s="41"/>
      <c r="H14" s="41"/>
      <c r="I14" s="35">
        <f>+MCHBG!H14</f>
        <v>2417.8679999999999</v>
      </c>
      <c r="J14" s="41"/>
      <c r="K14" s="41"/>
      <c r="L14" s="41"/>
      <c r="M14" s="41"/>
      <c r="N14" s="41"/>
      <c r="O14" s="41"/>
      <c r="P14" s="41"/>
      <c r="Q14" s="35">
        <f>+Nutrition!J14*Nutrition!Y14</f>
        <v>13216.128000000001</v>
      </c>
      <c r="R14" s="41"/>
      <c r="S14" s="41"/>
      <c r="T14" s="86">
        <f t="shared" si="0"/>
        <v>15633.996000000001</v>
      </c>
    </row>
    <row r="15" spans="1:20" x14ac:dyDescent="0.2">
      <c r="A15" s="41" t="s">
        <v>119</v>
      </c>
      <c r="B15" s="41"/>
      <c r="C15" s="41"/>
      <c r="D15" s="41"/>
      <c r="E15" s="41"/>
      <c r="F15" s="41"/>
      <c r="G15" s="41"/>
      <c r="H15" s="41"/>
      <c r="I15" s="35">
        <f>+MCHBG!H15</f>
        <v>73.125</v>
      </c>
      <c r="J15" s="41"/>
      <c r="K15" s="41"/>
      <c r="L15" s="41"/>
      <c r="M15" s="41"/>
      <c r="N15" s="41"/>
      <c r="O15" s="41"/>
      <c r="P15" s="41"/>
      <c r="Q15" s="35">
        <f>+Nutrition!J15*Nutrition!Y15</f>
        <v>11953.134</v>
      </c>
      <c r="R15" s="41"/>
      <c r="S15" s="41"/>
      <c r="T15" s="86">
        <f t="shared" si="0"/>
        <v>12026.259</v>
      </c>
    </row>
    <row r="16" spans="1:20" x14ac:dyDescent="0.2">
      <c r="A16" s="41" t="s">
        <v>120</v>
      </c>
      <c r="B16" s="41"/>
      <c r="C16" s="41"/>
      <c r="D16" s="41"/>
      <c r="E16" s="41"/>
      <c r="F16" s="41"/>
      <c r="G16" s="41"/>
      <c r="H16" s="41"/>
      <c r="I16" s="35">
        <f>+MCHBG!H16</f>
        <v>2594.9859999999999</v>
      </c>
      <c r="J16" s="41"/>
      <c r="K16" s="41"/>
      <c r="L16" s="41"/>
      <c r="M16" s="41"/>
      <c r="N16" s="41"/>
      <c r="O16" s="41"/>
      <c r="P16" s="41"/>
      <c r="Q16" s="35">
        <f>+Nutrition!J16*Nutrition!Y16</f>
        <v>98415.45</v>
      </c>
      <c r="R16" s="41"/>
      <c r="S16" s="41"/>
      <c r="T16" s="86">
        <f t="shared" si="0"/>
        <v>101010.436</v>
      </c>
    </row>
    <row r="17" spans="1:20" x14ac:dyDescent="0.2">
      <c r="A17" s="41" t="s">
        <v>121</v>
      </c>
      <c r="B17" s="41"/>
      <c r="C17" s="41"/>
      <c r="D17" s="41"/>
      <c r="E17" s="41"/>
      <c r="F17" s="41"/>
      <c r="G17" s="41"/>
      <c r="H17" s="41"/>
      <c r="I17" s="35">
        <f>+MCHBG!H17</f>
        <v>1212.432</v>
      </c>
      <c r="J17" s="41"/>
      <c r="K17" s="41"/>
      <c r="L17" s="41"/>
      <c r="M17" s="41"/>
      <c r="N17" s="41"/>
      <c r="O17" s="41"/>
      <c r="P17" s="41"/>
      <c r="Q17" s="35">
        <f>+Nutrition!J17*Nutrition!Y17</f>
        <v>44162.621999999996</v>
      </c>
      <c r="R17" s="41"/>
      <c r="S17" s="41"/>
      <c r="T17" s="86">
        <f t="shared" si="0"/>
        <v>45375.053999999996</v>
      </c>
    </row>
    <row r="18" spans="1:20" x14ac:dyDescent="0.2">
      <c r="A18" s="41" t="s">
        <v>122</v>
      </c>
      <c r="B18" s="41"/>
      <c r="C18" s="41"/>
      <c r="D18" s="41"/>
      <c r="E18" s="41"/>
      <c r="F18" s="41"/>
      <c r="G18" s="41"/>
      <c r="H18" s="41"/>
      <c r="I18" s="35">
        <f>+MCHBG!H18</f>
        <v>544.04499999999996</v>
      </c>
      <c r="J18" s="41"/>
      <c r="K18" s="41"/>
      <c r="L18" s="41"/>
      <c r="M18" s="41"/>
      <c r="N18" s="41"/>
      <c r="O18" s="41"/>
      <c r="P18" s="41"/>
      <c r="Q18" s="35">
        <f>+Nutrition!J18*Nutrition!Y18</f>
        <v>18906.154999999999</v>
      </c>
      <c r="R18" s="41"/>
      <c r="S18" s="41"/>
      <c r="T18" s="86">
        <f t="shared" si="0"/>
        <v>19450.199999999997</v>
      </c>
    </row>
    <row r="19" spans="1:20" x14ac:dyDescent="0.2">
      <c r="A19" s="41" t="s">
        <v>123</v>
      </c>
      <c r="B19" s="41"/>
      <c r="C19" s="41"/>
      <c r="D19" s="41"/>
      <c r="E19" s="41"/>
      <c r="F19" s="41"/>
      <c r="G19" s="41"/>
      <c r="H19" s="41"/>
      <c r="I19" s="35">
        <f>+MCHBG!H19</f>
        <v>597.87</v>
      </c>
      <c r="J19" s="41"/>
      <c r="K19" s="41"/>
      <c r="L19" s="41"/>
      <c r="M19" s="41"/>
      <c r="N19" s="41"/>
      <c r="O19" s="41"/>
      <c r="P19" s="41"/>
      <c r="Q19" s="35">
        <f>+Nutrition!J19*Nutrition!Y19</f>
        <v>21083.712</v>
      </c>
      <c r="R19" s="41"/>
      <c r="S19" s="41"/>
      <c r="T19" s="86">
        <f t="shared" si="0"/>
        <v>21681.581999999999</v>
      </c>
    </row>
    <row r="20" spans="1:20" x14ac:dyDescent="0.2">
      <c r="A20" s="41" t="s">
        <v>124</v>
      </c>
      <c r="B20" s="41"/>
      <c r="C20" s="41"/>
      <c r="D20" s="41"/>
      <c r="E20" s="41"/>
      <c r="F20" s="41"/>
      <c r="G20" s="41"/>
      <c r="H20" s="41"/>
      <c r="I20" s="35">
        <f>+MCHBG!H20</f>
        <v>2124.096</v>
      </c>
      <c r="J20" s="41"/>
      <c r="K20" s="41"/>
      <c r="L20" s="41"/>
      <c r="M20" s="41"/>
      <c r="N20" s="41"/>
      <c r="O20" s="41"/>
      <c r="P20" s="41"/>
      <c r="Q20" s="35">
        <f>+Nutrition!J20*Nutrition!Y20</f>
        <v>48546.144</v>
      </c>
      <c r="R20" s="41"/>
      <c r="S20" s="41"/>
      <c r="T20" s="86">
        <f t="shared" si="0"/>
        <v>50670.239999999998</v>
      </c>
    </row>
    <row r="21" spans="1:20" x14ac:dyDescent="0.2">
      <c r="A21" s="41" t="s">
        <v>125</v>
      </c>
      <c r="B21" s="41"/>
      <c r="C21" s="41"/>
      <c r="D21" s="41"/>
      <c r="E21" s="41"/>
      <c r="F21" s="41"/>
      <c r="G21" s="41"/>
      <c r="H21" s="41"/>
      <c r="I21" s="35">
        <f>+MCHBG!H21</f>
        <v>5568.7560000000003</v>
      </c>
      <c r="J21" s="41"/>
      <c r="K21" s="41"/>
      <c r="L21" s="41"/>
      <c r="M21" s="41"/>
      <c r="N21" s="41"/>
      <c r="O21" s="41"/>
      <c r="P21" s="41"/>
      <c r="Q21" s="35">
        <f>+Nutrition!J21*Nutrition!Y21</f>
        <v>46688.46</v>
      </c>
      <c r="R21" s="41"/>
      <c r="S21" s="41"/>
      <c r="T21" s="86">
        <f t="shared" si="0"/>
        <v>52257.216</v>
      </c>
    </row>
    <row r="22" spans="1:20" x14ac:dyDescent="0.2">
      <c r="A22" s="41" t="s">
        <v>0</v>
      </c>
      <c r="B22" s="41"/>
      <c r="C22" s="41"/>
      <c r="D22" s="41"/>
      <c r="E22" s="41"/>
      <c r="F22" s="41"/>
      <c r="G22" s="41"/>
      <c r="H22" s="41"/>
      <c r="I22" s="35">
        <f>+MCHBG!H22</f>
        <v>819.64799999999991</v>
      </c>
      <c r="J22" s="41"/>
      <c r="K22" s="41"/>
      <c r="L22" s="41"/>
      <c r="M22" s="41"/>
      <c r="N22" s="41"/>
      <c r="O22" s="41"/>
      <c r="P22" s="41"/>
      <c r="Q22" s="35">
        <f>+Nutrition!J22*Nutrition!Y22</f>
        <v>7852.576</v>
      </c>
      <c r="R22" s="41"/>
      <c r="S22" s="41"/>
      <c r="T22" s="86">
        <f t="shared" si="0"/>
        <v>8672.2240000000002</v>
      </c>
    </row>
    <row r="23" spans="1:20" x14ac:dyDescent="0.2">
      <c r="A23" s="41" t="s">
        <v>1</v>
      </c>
      <c r="B23" s="41"/>
      <c r="C23" s="41"/>
      <c r="D23" s="41"/>
      <c r="E23" s="41"/>
      <c r="F23" s="41"/>
      <c r="G23" s="41"/>
      <c r="H23" s="41"/>
      <c r="I23" s="35">
        <f>+MCHBG!H23</f>
        <v>3784.5119999999997</v>
      </c>
      <c r="J23" s="41"/>
      <c r="K23" s="41"/>
      <c r="L23" s="41"/>
      <c r="M23" s="41"/>
      <c r="N23" s="41"/>
      <c r="O23" s="41"/>
      <c r="P23" s="41"/>
      <c r="Q23" s="35">
        <f>+Nutrition!J23*Nutrition!Y23</f>
        <v>41804.455000000002</v>
      </c>
      <c r="R23" s="41"/>
      <c r="S23" s="41"/>
      <c r="T23" s="86">
        <f t="shared" si="0"/>
        <v>45588.967000000004</v>
      </c>
    </row>
    <row r="24" spans="1:20" x14ac:dyDescent="0.2">
      <c r="A24" s="41" t="s">
        <v>2</v>
      </c>
      <c r="B24" s="41"/>
      <c r="C24" s="41"/>
      <c r="D24" s="41"/>
      <c r="E24" s="41"/>
      <c r="F24" s="41"/>
      <c r="G24" s="41"/>
      <c r="H24" s="41"/>
      <c r="I24" s="35">
        <f>+MCHBG!H24</f>
        <v>1163.232</v>
      </c>
      <c r="J24" s="41"/>
      <c r="K24" s="41"/>
      <c r="L24" s="41"/>
      <c r="M24" s="41"/>
      <c r="N24" s="41"/>
      <c r="O24" s="41"/>
      <c r="P24" s="41"/>
      <c r="Q24" s="35">
        <f>+Nutrition!J24*Nutrition!Y24</f>
        <v>34286.982000000004</v>
      </c>
      <c r="R24" s="41"/>
      <c r="S24" s="41"/>
      <c r="T24" s="86">
        <f t="shared" si="0"/>
        <v>35450.214000000007</v>
      </c>
    </row>
    <row r="25" spans="1:20" x14ac:dyDescent="0.2">
      <c r="A25" s="41" t="s">
        <v>3</v>
      </c>
      <c r="B25" s="41"/>
      <c r="C25" s="41"/>
      <c r="D25" s="41"/>
      <c r="E25" s="41"/>
      <c r="F25" s="41"/>
      <c r="G25" s="41"/>
      <c r="H25" s="41"/>
      <c r="I25" s="35">
        <f>+MCHBG!H25</f>
        <v>1336.3000000000002</v>
      </c>
      <c r="J25" s="41"/>
      <c r="K25" s="41"/>
      <c r="L25" s="41"/>
      <c r="M25" s="41"/>
      <c r="N25" s="41"/>
      <c r="O25" s="41"/>
      <c r="P25" s="41"/>
      <c r="Q25" s="35">
        <f>+Nutrition!J25*Nutrition!Y25</f>
        <v>78535.254000000001</v>
      </c>
      <c r="R25" s="41"/>
      <c r="S25" s="41"/>
      <c r="T25" s="86">
        <f t="shared" si="0"/>
        <v>79871.554000000004</v>
      </c>
    </row>
    <row r="26" spans="1:20" x14ac:dyDescent="0.2">
      <c r="A26" s="41" t="s">
        <v>4</v>
      </c>
      <c r="B26" s="41"/>
      <c r="C26" s="41"/>
      <c r="D26" s="41"/>
      <c r="E26" s="41"/>
      <c r="F26" s="41"/>
      <c r="G26" s="41"/>
      <c r="H26" s="41"/>
      <c r="I26" s="35">
        <f>+MCHBG!H26</f>
        <v>923.05499999999995</v>
      </c>
      <c r="J26" s="41"/>
      <c r="K26" s="41"/>
      <c r="L26" s="41"/>
      <c r="M26" s="41"/>
      <c r="N26" s="41"/>
      <c r="O26" s="41"/>
      <c r="P26" s="41"/>
      <c r="Q26" s="35">
        <f>+Nutrition!J26*Nutrition!Y26</f>
        <v>39394.18</v>
      </c>
      <c r="R26" s="41"/>
      <c r="S26" s="41"/>
      <c r="T26" s="86">
        <f t="shared" si="0"/>
        <v>40317.235000000001</v>
      </c>
    </row>
    <row r="27" spans="1:20" x14ac:dyDescent="0.2">
      <c r="A27" s="41" t="s">
        <v>5</v>
      </c>
      <c r="B27" s="41"/>
      <c r="C27" s="41"/>
      <c r="D27" s="41"/>
      <c r="E27" s="41"/>
      <c r="F27" s="41"/>
      <c r="G27" s="41"/>
      <c r="H27" s="41"/>
      <c r="I27" s="35">
        <f>+MCHBG!H27</f>
        <v>1888.3000000000002</v>
      </c>
      <c r="J27" s="41"/>
      <c r="K27" s="41"/>
      <c r="L27" s="41"/>
      <c r="M27" s="41"/>
      <c r="N27" s="41"/>
      <c r="O27" s="41"/>
      <c r="P27" s="41"/>
      <c r="Q27" s="35">
        <f>+Nutrition!J27*Nutrition!Y27</f>
        <v>40363.358</v>
      </c>
      <c r="R27" s="41"/>
      <c r="S27" s="41"/>
      <c r="T27" s="86">
        <f t="shared" si="0"/>
        <v>42251.658000000003</v>
      </c>
    </row>
    <row r="28" spans="1:20" x14ac:dyDescent="0.2">
      <c r="A28" s="41" t="s">
        <v>6</v>
      </c>
      <c r="B28" s="41"/>
      <c r="C28" s="41"/>
      <c r="D28" s="41"/>
      <c r="E28" s="41"/>
      <c r="F28" s="41"/>
      <c r="G28" s="41"/>
      <c r="H28" s="41"/>
      <c r="I28" s="35">
        <f>+MCHBG!H28</f>
        <v>2295</v>
      </c>
      <c r="J28" s="41"/>
      <c r="K28" s="41"/>
      <c r="L28" s="41"/>
      <c r="M28" s="41"/>
      <c r="N28" s="41"/>
      <c r="O28" s="41"/>
      <c r="P28" s="41"/>
      <c r="Q28" s="35">
        <f>+Nutrition!J28*Nutrition!Y28</f>
        <v>41890.991999999998</v>
      </c>
      <c r="R28" s="41"/>
      <c r="S28" s="41"/>
      <c r="T28" s="86">
        <f t="shared" si="0"/>
        <v>44185.991999999998</v>
      </c>
    </row>
    <row r="29" spans="1:20" x14ac:dyDescent="0.2">
      <c r="A29" s="41" t="s">
        <v>7</v>
      </c>
      <c r="B29" s="41"/>
      <c r="C29" s="41"/>
      <c r="D29" s="41"/>
      <c r="E29" s="41"/>
      <c r="F29" s="41"/>
      <c r="G29" s="41"/>
      <c r="H29" s="41"/>
      <c r="I29" s="35">
        <f>+MCHBG!H29</f>
        <v>178.41600000000003</v>
      </c>
      <c r="J29" s="41"/>
      <c r="K29" s="41"/>
      <c r="L29" s="41"/>
      <c r="M29" s="41"/>
      <c r="N29" s="41"/>
      <c r="O29" s="41"/>
      <c r="P29" s="41"/>
      <c r="Q29" s="35">
        <f>+Nutrition!J29*Nutrition!Y29</f>
        <v>6430.8959999999997</v>
      </c>
      <c r="R29" s="41"/>
      <c r="S29" s="41"/>
      <c r="T29" s="86">
        <f t="shared" si="0"/>
        <v>6609.3119999999999</v>
      </c>
    </row>
    <row r="30" spans="1:20" x14ac:dyDescent="0.2">
      <c r="A30" s="41" t="s">
        <v>8</v>
      </c>
      <c r="B30" s="41"/>
      <c r="C30" s="41"/>
      <c r="D30" s="41"/>
      <c r="E30" s="41"/>
      <c r="F30" s="41"/>
      <c r="G30" s="41"/>
      <c r="H30" s="41"/>
      <c r="I30" s="35">
        <f>+MCHBG!H30</f>
        <v>123.291</v>
      </c>
      <c r="J30" s="41"/>
      <c r="K30" s="41"/>
      <c r="L30" s="41"/>
      <c r="M30" s="41"/>
      <c r="N30" s="41"/>
      <c r="O30" s="41"/>
      <c r="P30" s="41"/>
      <c r="Q30" s="35">
        <f>+Nutrition!J30*Nutrition!Y30</f>
        <v>12263.25</v>
      </c>
      <c r="R30" s="41"/>
      <c r="S30" s="41"/>
      <c r="T30" s="86">
        <f t="shared" si="0"/>
        <v>12386.540999999999</v>
      </c>
    </row>
    <row r="31" spans="1:20" x14ac:dyDescent="0.2">
      <c r="A31" s="41" t="s">
        <v>92</v>
      </c>
      <c r="B31" s="41"/>
      <c r="C31" s="41"/>
      <c r="D31" s="41"/>
      <c r="E31" s="41"/>
      <c r="F31" s="41"/>
      <c r="G31" s="41"/>
      <c r="H31" s="41"/>
      <c r="I31" s="35">
        <f>+MCHBG!H31</f>
        <v>234.23400000000001</v>
      </c>
      <c r="J31" s="41"/>
      <c r="K31" s="41"/>
      <c r="L31" s="41"/>
      <c r="M31" s="41"/>
      <c r="N31" s="41"/>
      <c r="O31" s="41"/>
      <c r="P31" s="41"/>
      <c r="Q31" s="35">
        <f>+Nutrition!J31*Nutrition!Y31</f>
        <v>17962.814999999999</v>
      </c>
      <c r="R31" s="41"/>
      <c r="S31" s="41"/>
      <c r="T31" s="86">
        <f t="shared" si="0"/>
        <v>18197.048999999999</v>
      </c>
    </row>
    <row r="32" spans="1:20" x14ac:dyDescent="0.2">
      <c r="A32" s="41" t="s">
        <v>9</v>
      </c>
      <c r="B32" s="41"/>
      <c r="C32" s="41"/>
      <c r="D32" s="41"/>
      <c r="E32" s="41"/>
      <c r="F32" s="41"/>
      <c r="G32" s="41"/>
      <c r="H32" s="41"/>
      <c r="I32" s="35">
        <f>+MCHBG!H32</f>
        <v>87.066000000000003</v>
      </c>
      <c r="J32" s="41"/>
      <c r="K32" s="41"/>
      <c r="L32" s="41"/>
      <c r="M32" s="41"/>
      <c r="N32" s="41"/>
      <c r="O32" s="41"/>
      <c r="P32" s="41"/>
      <c r="Q32" s="35">
        <f>+Nutrition!J32*Nutrition!Y32</f>
        <v>4512.3519999999999</v>
      </c>
      <c r="R32" s="41"/>
      <c r="S32" s="41"/>
      <c r="T32" s="86">
        <f t="shared" si="0"/>
        <v>4599.4179999999997</v>
      </c>
    </row>
    <row r="33" spans="1:20" x14ac:dyDescent="0.2">
      <c r="A33" s="41" t="s">
        <v>10</v>
      </c>
      <c r="B33" s="41"/>
      <c r="C33" s="41"/>
      <c r="D33" s="41"/>
      <c r="E33" s="41"/>
      <c r="F33" s="41"/>
      <c r="G33" s="41"/>
      <c r="H33" s="41"/>
      <c r="I33" s="35">
        <f>+MCHBG!H33</f>
        <v>22239.276000000002</v>
      </c>
      <c r="J33" s="41"/>
      <c r="K33" s="41"/>
      <c r="L33" s="41"/>
      <c r="M33" s="41"/>
      <c r="N33" s="41"/>
      <c r="O33" s="41"/>
      <c r="P33" s="41"/>
      <c r="Q33" s="35">
        <f>+Nutrition!J33*Nutrition!Y33</f>
        <v>56272.725000000006</v>
      </c>
      <c r="R33" s="41"/>
      <c r="S33" s="41"/>
      <c r="T33" s="86">
        <f t="shared" si="0"/>
        <v>78512.001000000004</v>
      </c>
    </row>
    <row r="34" spans="1:20" x14ac:dyDescent="0.2">
      <c r="A34" s="41" t="s">
        <v>11</v>
      </c>
      <c r="B34" s="41"/>
      <c r="C34" s="41"/>
      <c r="D34" s="41"/>
      <c r="E34" s="41"/>
      <c r="F34" s="41"/>
      <c r="G34" s="41"/>
      <c r="H34" s="41"/>
      <c r="I34" s="35">
        <f>+MCHBG!H34</f>
        <v>544.21499999999992</v>
      </c>
      <c r="J34" s="41"/>
      <c r="K34" s="41"/>
      <c r="L34" s="41"/>
      <c r="M34" s="41"/>
      <c r="N34" s="41"/>
      <c r="O34" s="41"/>
      <c r="P34" s="41"/>
      <c r="Q34" s="35">
        <f>+Nutrition!J34*Nutrition!Y34</f>
        <v>21954.468000000001</v>
      </c>
      <c r="R34" s="41"/>
      <c r="S34" s="41"/>
      <c r="T34" s="86">
        <f t="shared" si="0"/>
        <v>22498.683000000001</v>
      </c>
    </row>
    <row r="35" spans="1:20" s="23" customFormat="1" x14ac:dyDescent="0.2">
      <c r="A35" s="42" t="s">
        <v>12</v>
      </c>
      <c r="B35" s="42"/>
      <c r="C35" s="42"/>
      <c r="D35" s="42"/>
      <c r="E35" s="42"/>
      <c r="F35" s="42"/>
      <c r="G35" s="42"/>
      <c r="H35" s="42"/>
      <c r="I35" s="37">
        <f>+MCHBG!H35</f>
        <v>9292.9920000000002</v>
      </c>
      <c r="J35" s="42"/>
      <c r="K35" s="42"/>
      <c r="L35" s="42"/>
      <c r="M35" s="42"/>
      <c r="N35" s="42"/>
      <c r="O35" s="42"/>
      <c r="P35" s="42"/>
      <c r="Q35" s="37">
        <f>+Nutrition!J35*Nutrition!Y35</f>
        <v>179263.413</v>
      </c>
      <c r="R35" s="42"/>
      <c r="S35" s="42"/>
      <c r="T35" s="108">
        <f t="shared" si="0"/>
        <v>188556.405</v>
      </c>
    </row>
    <row r="36" spans="1:20" x14ac:dyDescent="0.2">
      <c r="A36" s="41" t="s">
        <v>13</v>
      </c>
      <c r="B36" s="41"/>
      <c r="C36" s="41"/>
      <c r="D36" s="41"/>
      <c r="E36" s="41"/>
      <c r="F36" s="41"/>
      <c r="G36" s="41"/>
      <c r="H36" s="41"/>
      <c r="I36" s="35">
        <f>+MCHBG!H36</f>
        <v>8127.4189999999999</v>
      </c>
      <c r="J36" s="41"/>
      <c r="K36" s="41"/>
      <c r="L36" s="41"/>
      <c r="M36" s="41"/>
      <c r="N36" s="41"/>
      <c r="O36" s="41"/>
      <c r="P36" s="41"/>
      <c r="Q36" s="35">
        <f>+Nutrition!J36*Nutrition!Y36</f>
        <v>86812.942999999999</v>
      </c>
      <c r="R36" s="41"/>
      <c r="S36" s="41"/>
      <c r="T36" s="86">
        <f t="shared" si="0"/>
        <v>94940.361999999994</v>
      </c>
    </row>
    <row r="37" spans="1:20" x14ac:dyDescent="0.2">
      <c r="A37" s="41" t="s">
        <v>14</v>
      </c>
      <c r="B37" s="41"/>
      <c r="C37" s="41"/>
      <c r="D37" s="41"/>
      <c r="E37" s="41"/>
      <c r="F37" s="41"/>
      <c r="G37" s="41"/>
      <c r="H37" s="41"/>
      <c r="I37" s="35">
        <f>+MCHBG!H37</f>
        <v>116.624</v>
      </c>
      <c r="J37" s="41"/>
      <c r="K37" s="41"/>
      <c r="L37" s="41"/>
      <c r="M37" s="41"/>
      <c r="N37" s="41"/>
      <c r="O37" s="41"/>
      <c r="P37" s="41"/>
      <c r="Q37" s="35">
        <f>+Nutrition!J37*Nutrition!Y37</f>
        <v>5205.7719999999999</v>
      </c>
      <c r="R37" s="41"/>
      <c r="S37" s="41"/>
      <c r="T37" s="86">
        <f t="shared" si="0"/>
        <v>5322.3959999999997</v>
      </c>
    </row>
    <row r="38" spans="1:20" x14ac:dyDescent="0.2">
      <c r="A38" s="41" t="s">
        <v>15</v>
      </c>
      <c r="B38" s="41"/>
      <c r="C38" s="41"/>
      <c r="D38" s="41"/>
      <c r="E38" s="41"/>
      <c r="F38" s="41"/>
      <c r="G38" s="41"/>
      <c r="H38" s="41"/>
      <c r="I38" s="35">
        <f>+MCHBG!H38</f>
        <v>832.678</v>
      </c>
      <c r="J38" s="41"/>
      <c r="K38" s="41"/>
      <c r="L38" s="41"/>
      <c r="M38" s="41"/>
      <c r="N38" s="41"/>
      <c r="O38" s="41"/>
      <c r="P38" s="41"/>
      <c r="Q38" s="35">
        <f>+Nutrition!J38*Nutrition!Y38</f>
        <v>76110.979000000007</v>
      </c>
      <c r="R38" s="41"/>
      <c r="S38" s="41"/>
      <c r="T38" s="86">
        <f t="shared" si="0"/>
        <v>76943.657000000007</v>
      </c>
    </row>
    <row r="39" spans="1:20" x14ac:dyDescent="0.2">
      <c r="A39" s="41" t="s">
        <v>16</v>
      </c>
      <c r="B39" s="41"/>
      <c r="C39" s="41"/>
      <c r="D39" s="41"/>
      <c r="E39" s="41"/>
      <c r="F39" s="41"/>
      <c r="G39" s="41"/>
      <c r="H39" s="41"/>
      <c r="I39" s="35">
        <f>+MCHBG!H39</f>
        <v>808.65899999999999</v>
      </c>
      <c r="J39" s="41"/>
      <c r="K39" s="41"/>
      <c r="L39" s="41"/>
      <c r="M39" s="41"/>
      <c r="N39" s="41"/>
      <c r="O39" s="41"/>
      <c r="P39" s="41"/>
      <c r="Q39" s="35">
        <f>+Nutrition!J39*Nutrition!Y39</f>
        <v>43647.09</v>
      </c>
      <c r="R39" s="41"/>
      <c r="S39" s="41"/>
      <c r="T39" s="86">
        <f t="shared" si="0"/>
        <v>44455.748999999996</v>
      </c>
    </row>
    <row r="40" spans="1:20" x14ac:dyDescent="0.2">
      <c r="A40" s="41" t="s">
        <v>17</v>
      </c>
      <c r="B40" s="41"/>
      <c r="C40" s="41"/>
      <c r="D40" s="41"/>
      <c r="E40" s="41"/>
      <c r="F40" s="41"/>
      <c r="G40" s="41"/>
      <c r="H40" s="41"/>
      <c r="I40" s="35">
        <f>+MCHBG!H40</f>
        <v>881.05500000000006</v>
      </c>
      <c r="J40" s="41"/>
      <c r="K40" s="41"/>
      <c r="L40" s="41"/>
      <c r="M40" s="41"/>
      <c r="N40" s="41"/>
      <c r="O40" s="41"/>
      <c r="P40" s="41"/>
      <c r="Q40" s="35">
        <f>+Nutrition!J40*Nutrition!Y40</f>
        <v>29316.807000000001</v>
      </c>
      <c r="R40" s="41"/>
      <c r="S40" s="41"/>
      <c r="T40" s="86">
        <f t="shared" si="0"/>
        <v>30197.862000000001</v>
      </c>
    </row>
    <row r="41" spans="1:20" x14ac:dyDescent="0.2">
      <c r="A41" s="41" t="s">
        <v>18</v>
      </c>
      <c r="B41" s="41"/>
      <c r="C41" s="41"/>
      <c r="D41" s="41"/>
      <c r="E41" s="41"/>
      <c r="F41" s="41"/>
      <c r="G41" s="41"/>
      <c r="H41" s="41"/>
      <c r="I41" s="35">
        <f>+MCHBG!H41</f>
        <v>962.67600000000004</v>
      </c>
      <c r="J41" s="41"/>
      <c r="K41" s="41"/>
      <c r="L41" s="41"/>
      <c r="M41" s="41"/>
      <c r="N41" s="41"/>
      <c r="O41" s="41"/>
      <c r="P41" s="41"/>
      <c r="Q41" s="35">
        <f>+Nutrition!J41*Nutrition!Y41</f>
        <v>79578.275000000009</v>
      </c>
      <c r="R41" s="41"/>
      <c r="S41" s="41"/>
      <c r="T41" s="86">
        <f t="shared" si="0"/>
        <v>80540.951000000015</v>
      </c>
    </row>
    <row r="42" spans="1:20" x14ac:dyDescent="0.2">
      <c r="A42" s="41" t="s">
        <v>19</v>
      </c>
      <c r="B42" s="41"/>
      <c r="C42" s="41"/>
      <c r="D42" s="41"/>
      <c r="E42" s="41"/>
      <c r="F42" s="41"/>
      <c r="G42" s="41"/>
      <c r="H42" s="41"/>
      <c r="I42" s="35">
        <f>+MCHBG!H42</f>
        <v>372.78000000000003</v>
      </c>
      <c r="J42" s="41"/>
      <c r="K42" s="41"/>
      <c r="L42" s="41"/>
      <c r="M42" s="41"/>
      <c r="N42" s="41"/>
      <c r="O42" s="41"/>
      <c r="P42" s="41"/>
      <c r="Q42" s="35">
        <f>+Nutrition!J42*Nutrition!Y42</f>
        <v>8982.7919999999995</v>
      </c>
      <c r="R42" s="41"/>
      <c r="S42" s="41"/>
      <c r="T42" s="86">
        <f t="shared" si="0"/>
        <v>9355.5720000000001</v>
      </c>
    </row>
    <row r="43" spans="1:20" x14ac:dyDescent="0.2">
      <c r="A43" s="41" t="s">
        <v>20</v>
      </c>
      <c r="B43" s="41"/>
      <c r="C43" s="41"/>
      <c r="D43" s="41"/>
      <c r="E43" s="41"/>
      <c r="F43" s="41"/>
      <c r="G43" s="41"/>
      <c r="H43" s="41"/>
      <c r="I43" s="35">
        <f>+MCHBG!H43</f>
        <v>2194.4629999999997</v>
      </c>
      <c r="J43" s="41"/>
      <c r="K43" s="41"/>
      <c r="L43" s="41"/>
      <c r="M43" s="41"/>
      <c r="N43" s="41"/>
      <c r="O43" s="41"/>
      <c r="P43" s="41"/>
      <c r="Q43" s="35">
        <f>+Nutrition!J43*Nutrition!Y43</f>
        <v>42125.26</v>
      </c>
      <c r="R43" s="41"/>
      <c r="S43" s="41"/>
      <c r="T43" s="86">
        <f t="shared" si="0"/>
        <v>44319.722999999998</v>
      </c>
    </row>
    <row r="44" spans="1:20" x14ac:dyDescent="0.2">
      <c r="A44" s="41" t="s">
        <v>21</v>
      </c>
      <c r="B44" s="41"/>
      <c r="C44" s="41"/>
      <c r="D44" s="41"/>
      <c r="E44" s="41"/>
      <c r="F44" s="41"/>
      <c r="G44" s="41"/>
      <c r="H44" s="41"/>
      <c r="I44" s="35">
        <f>+MCHBG!H44</f>
        <v>546.93999999999994</v>
      </c>
      <c r="J44" s="41"/>
      <c r="K44" s="41"/>
      <c r="L44" s="41"/>
      <c r="M44" s="41"/>
      <c r="N44" s="41"/>
      <c r="O44" s="41"/>
      <c r="P44" s="41"/>
      <c r="Q44" s="35">
        <f>+Nutrition!J44*Nutrition!Y44</f>
        <v>8577.366</v>
      </c>
      <c r="R44" s="41"/>
      <c r="S44" s="41"/>
      <c r="T44" s="86">
        <f t="shared" si="0"/>
        <v>9124.3060000000005</v>
      </c>
    </row>
    <row r="45" spans="1:20" x14ac:dyDescent="0.2">
      <c r="A45" s="41" t="s">
        <v>22</v>
      </c>
      <c r="B45" s="41"/>
      <c r="C45" s="41"/>
      <c r="D45" s="41"/>
      <c r="E45" s="41"/>
      <c r="F45" s="41"/>
      <c r="G45" s="41"/>
      <c r="H45" s="41"/>
      <c r="I45" s="35">
        <f>+MCHBG!H45</f>
        <v>1384.2919999999999</v>
      </c>
      <c r="J45" s="41"/>
      <c r="K45" s="41"/>
      <c r="L45" s="41"/>
      <c r="M45" s="41"/>
      <c r="N45" s="41"/>
      <c r="O45" s="41"/>
      <c r="P45" s="41"/>
      <c r="Q45" s="35">
        <f>+Nutrition!J45*Nutrition!Y45</f>
        <v>51800.682999999997</v>
      </c>
      <c r="R45" s="41"/>
      <c r="S45" s="41"/>
      <c r="T45" s="86">
        <f t="shared" si="0"/>
        <v>53184.974999999999</v>
      </c>
    </row>
    <row r="46" spans="1:20" x14ac:dyDescent="0.2">
      <c r="A46" s="41" t="s">
        <v>23</v>
      </c>
      <c r="B46" s="41"/>
      <c r="C46" s="41"/>
      <c r="D46" s="41"/>
      <c r="E46" s="41"/>
      <c r="F46" s="41"/>
      <c r="G46" s="41"/>
      <c r="H46" s="41"/>
      <c r="I46" s="35">
        <f>+MCHBG!H46</f>
        <v>553.58799999999997</v>
      </c>
      <c r="J46" s="41"/>
      <c r="K46" s="41"/>
      <c r="L46" s="41"/>
      <c r="M46" s="41"/>
      <c r="N46" s="41"/>
      <c r="O46" s="41"/>
      <c r="P46" s="41"/>
      <c r="Q46" s="35">
        <f>+Nutrition!J46*Nutrition!Y46</f>
        <v>205817.326</v>
      </c>
      <c r="R46" s="41"/>
      <c r="S46" s="41"/>
      <c r="T46" s="86">
        <f t="shared" si="0"/>
        <v>206370.91399999999</v>
      </c>
    </row>
    <row r="47" spans="1:20" x14ac:dyDescent="0.2">
      <c r="A47" s="41" t="s">
        <v>24</v>
      </c>
      <c r="B47" s="41"/>
      <c r="C47" s="41"/>
      <c r="D47" s="41"/>
      <c r="E47" s="41"/>
      <c r="F47" s="41"/>
      <c r="G47" s="41"/>
      <c r="H47" s="41"/>
      <c r="I47" s="35">
        <f>+MCHBG!H47</f>
        <v>1891.692</v>
      </c>
      <c r="J47" s="41"/>
      <c r="K47" s="41"/>
      <c r="L47" s="41"/>
      <c r="M47" s="41"/>
      <c r="N47" s="41"/>
      <c r="O47" s="41"/>
      <c r="P47" s="41"/>
      <c r="Q47" s="35">
        <f>+Nutrition!J47*Nutrition!Y47</f>
        <v>17821.616000000002</v>
      </c>
      <c r="R47" s="41"/>
      <c r="S47" s="41"/>
      <c r="T47" s="86">
        <f t="shared" si="0"/>
        <v>19713.308000000001</v>
      </c>
    </row>
    <row r="48" spans="1:20" x14ac:dyDescent="0.2">
      <c r="A48" s="41" t="s">
        <v>25</v>
      </c>
      <c r="B48" s="41"/>
      <c r="C48" s="41"/>
      <c r="D48" s="41"/>
      <c r="E48" s="41"/>
      <c r="F48" s="41"/>
      <c r="G48" s="41"/>
      <c r="H48" s="41"/>
      <c r="I48" s="35">
        <f>+MCHBG!H48</f>
        <v>118.54500000000002</v>
      </c>
      <c r="J48" s="41"/>
      <c r="K48" s="41"/>
      <c r="L48" s="41"/>
      <c r="M48" s="41"/>
      <c r="N48" s="41"/>
      <c r="O48" s="41"/>
      <c r="P48" s="41"/>
      <c r="Q48" s="35">
        <f>+Nutrition!J48*Nutrition!Y48</f>
        <v>5279.8680000000004</v>
      </c>
      <c r="R48" s="41"/>
      <c r="S48" s="41"/>
      <c r="T48" s="86">
        <f t="shared" si="0"/>
        <v>5398.4130000000005</v>
      </c>
    </row>
    <row r="49" spans="1:20" x14ac:dyDescent="0.2">
      <c r="A49" s="41" t="s">
        <v>26</v>
      </c>
      <c r="B49" s="41"/>
      <c r="C49" s="41"/>
      <c r="D49" s="41"/>
      <c r="E49" s="41"/>
      <c r="F49" s="41"/>
      <c r="G49" s="41"/>
      <c r="H49" s="41"/>
      <c r="I49" s="35">
        <f>+MCHBG!H49</f>
        <v>1234.356</v>
      </c>
      <c r="J49" s="41"/>
      <c r="K49" s="41"/>
      <c r="L49" s="41"/>
      <c r="M49" s="41"/>
      <c r="N49" s="41"/>
      <c r="O49" s="41"/>
      <c r="P49" s="41"/>
      <c r="Q49" s="35">
        <f>+Nutrition!J49*Nutrition!Y49</f>
        <v>44922.472000000002</v>
      </c>
      <c r="R49" s="41"/>
      <c r="S49" s="41"/>
      <c r="T49" s="86">
        <f t="shared" si="0"/>
        <v>46156.828000000001</v>
      </c>
    </row>
    <row r="50" spans="1:20" x14ac:dyDescent="0.2">
      <c r="A50" s="41" t="s">
        <v>27</v>
      </c>
      <c r="B50" s="41"/>
      <c r="C50" s="41"/>
      <c r="D50" s="41"/>
      <c r="E50" s="41"/>
      <c r="F50" s="41"/>
      <c r="G50" s="41"/>
      <c r="H50" s="41"/>
      <c r="I50" s="35">
        <f>+MCHBG!H50</f>
        <v>442.09800000000001</v>
      </c>
      <c r="J50" s="41"/>
      <c r="K50" s="41"/>
      <c r="L50" s="41"/>
      <c r="M50" s="41"/>
      <c r="N50" s="41"/>
      <c r="O50" s="41"/>
      <c r="P50" s="41"/>
      <c r="Q50" s="35">
        <f>+Nutrition!J50*Nutrition!Y50</f>
        <v>77791.875</v>
      </c>
      <c r="R50" s="41"/>
      <c r="S50" s="41"/>
      <c r="T50" s="86">
        <f t="shared" si="0"/>
        <v>78233.972999999998</v>
      </c>
    </row>
    <row r="51" spans="1:20" x14ac:dyDescent="0.2">
      <c r="A51" s="41" t="s">
        <v>28</v>
      </c>
      <c r="B51" s="41"/>
      <c r="C51" s="41"/>
      <c r="D51" s="41"/>
      <c r="E51" s="41"/>
      <c r="F51" s="41"/>
      <c r="G51" s="41"/>
      <c r="H51" s="41"/>
      <c r="I51" s="35">
        <f>+MCHBG!H51</f>
        <v>511.779</v>
      </c>
      <c r="J51" s="41"/>
      <c r="K51" s="41"/>
      <c r="L51" s="41"/>
      <c r="M51" s="41"/>
      <c r="N51" s="41"/>
      <c r="O51" s="41"/>
      <c r="P51" s="41"/>
      <c r="Q51" s="35">
        <f>+Nutrition!J51*Nutrition!Y51</f>
        <v>17918.333999999999</v>
      </c>
      <c r="R51" s="41"/>
      <c r="S51" s="41"/>
      <c r="T51" s="86">
        <f t="shared" si="0"/>
        <v>18430.112999999998</v>
      </c>
    </row>
    <row r="52" spans="1:20" x14ac:dyDescent="0.2">
      <c r="A52" s="41" t="s">
        <v>29</v>
      </c>
      <c r="B52" s="41"/>
      <c r="C52" s="41"/>
      <c r="D52" s="41"/>
      <c r="E52" s="41"/>
      <c r="F52" s="41"/>
      <c r="G52" s="41"/>
      <c r="H52" s="41"/>
      <c r="I52" s="35">
        <f>+MCHBG!H52</f>
        <v>544.678</v>
      </c>
      <c r="J52" s="41"/>
      <c r="K52" s="41"/>
      <c r="L52" s="41"/>
      <c r="M52" s="41"/>
      <c r="N52" s="41"/>
      <c r="O52" s="41"/>
      <c r="P52" s="41"/>
      <c r="Q52" s="35">
        <f>+Nutrition!J52*Nutrition!Y52</f>
        <v>35975.807999999997</v>
      </c>
      <c r="R52" s="41"/>
      <c r="S52" s="41"/>
      <c r="T52" s="86">
        <f t="shared" si="0"/>
        <v>36520.485999999997</v>
      </c>
    </row>
    <row r="53" spans="1:20" x14ac:dyDescent="0.2">
      <c r="A53" s="41" t="s">
        <v>30</v>
      </c>
      <c r="B53" s="41"/>
      <c r="C53" s="41"/>
      <c r="D53" s="41"/>
      <c r="E53" s="41"/>
      <c r="F53" s="41"/>
      <c r="G53" s="41"/>
      <c r="H53" s="41"/>
      <c r="I53" s="35">
        <f>+MCHBG!H53</f>
        <v>114.44</v>
      </c>
      <c r="J53" s="41"/>
      <c r="K53" s="41"/>
      <c r="L53" s="41"/>
      <c r="M53" s="41"/>
      <c r="N53" s="41"/>
      <c r="O53" s="41"/>
      <c r="P53" s="41"/>
      <c r="Q53" s="35">
        <f>+Nutrition!J53*Nutrition!Y53</f>
        <v>3534.0239999999999</v>
      </c>
      <c r="R53" s="41"/>
      <c r="S53" s="41"/>
      <c r="T53" s="86">
        <f t="shared" si="0"/>
        <v>3648.4639999999999</v>
      </c>
    </row>
    <row r="54" spans="1:20" ht="16" thickBot="1" x14ac:dyDescent="0.25"/>
    <row r="55" spans="1:20" ht="17" thickTop="1" thickBot="1" x14ac:dyDescent="0.25">
      <c r="A55" s="38" t="s">
        <v>39</v>
      </c>
      <c r="B55" s="83">
        <f t="shared" ref="B55:H55" si="1">SUM(B4:B54)</f>
        <v>0</v>
      </c>
      <c r="C55" s="83">
        <f t="shared" si="1"/>
        <v>0</v>
      </c>
      <c r="D55" s="83">
        <f t="shared" si="1"/>
        <v>0</v>
      </c>
      <c r="E55" s="83">
        <f t="shared" si="1"/>
        <v>0</v>
      </c>
      <c r="F55" s="83">
        <f t="shared" si="1"/>
        <v>0</v>
      </c>
      <c r="G55" s="83">
        <f t="shared" si="1"/>
        <v>0</v>
      </c>
      <c r="H55" s="83">
        <f t="shared" si="1"/>
        <v>0</v>
      </c>
      <c r="I55" s="83">
        <f>SUM(I4:I54)</f>
        <v>368686.75100000005</v>
      </c>
      <c r="J55" s="83">
        <f t="shared" ref="J55:T55" si="2">SUM(J4:J54)</f>
        <v>0</v>
      </c>
      <c r="K55" s="83">
        <f t="shared" si="2"/>
        <v>0</v>
      </c>
      <c r="L55" s="83">
        <f t="shared" si="2"/>
        <v>0</v>
      </c>
      <c r="M55" s="83">
        <f t="shared" si="2"/>
        <v>0</v>
      </c>
      <c r="N55" s="83">
        <f t="shared" si="2"/>
        <v>0</v>
      </c>
      <c r="O55" s="83">
        <f t="shared" si="2"/>
        <v>0</v>
      </c>
      <c r="P55" s="83">
        <f t="shared" si="2"/>
        <v>0</v>
      </c>
      <c r="Q55" s="83">
        <f t="shared" si="2"/>
        <v>2719366.98</v>
      </c>
      <c r="R55" s="83">
        <f t="shared" si="2"/>
        <v>0</v>
      </c>
      <c r="S55" s="83">
        <f t="shared" si="2"/>
        <v>0</v>
      </c>
      <c r="T55" s="84">
        <f t="shared" si="2"/>
        <v>3088053.7310000006</v>
      </c>
    </row>
    <row r="56" spans="1:20" ht="16" thickTop="1" x14ac:dyDescent="0.2"/>
  </sheetData>
  <printOptions horizontalCentered="1" verticalCentered="1"/>
  <pageMargins left="0.7" right="0.7" top="0.75" bottom="0.75" header="0.3" footer="0.3"/>
  <pageSetup paperSize="5" scale="55" orientation="landscape"/>
  <headerFooter>
    <oddHeader>&amp;C&amp;"-,Bold"&amp;18Public Spending for Children and their Families -- Prenatal</oddHeader>
    <oddFooter>&amp;L&amp;D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tabColor rgb="FF00B0F0"/>
  </sheetPr>
  <dimension ref="A1:Y57"/>
  <sheetViews>
    <sheetView workbookViewId="0">
      <selection activeCell="I11" sqref="I11"/>
    </sheetView>
  </sheetViews>
  <sheetFormatPr baseColWidth="10" defaultColWidth="8.83203125" defaultRowHeight="15" x14ac:dyDescent="0.2"/>
  <cols>
    <col min="1" max="1" width="20.1640625" customWidth="1"/>
    <col min="2" max="2" width="16.33203125" style="4" customWidth="1"/>
    <col min="3" max="3" width="4.33203125" customWidth="1"/>
    <col min="4" max="5" width="12.6640625" style="4" customWidth="1"/>
    <col min="6" max="6" width="12.6640625" customWidth="1"/>
    <col min="7" max="7" width="16" customWidth="1"/>
    <col min="8" max="8" width="15" customWidth="1"/>
    <col min="9" max="9" width="12.6640625" customWidth="1"/>
    <col min="10" max="10" width="9.33203125" customWidth="1"/>
    <col min="11" max="11" width="9.6640625" customWidth="1"/>
    <col min="15" max="18" width="8.83203125" style="92"/>
    <col min="20" max="23" width="15.6640625" customWidth="1"/>
    <col min="24" max="24" width="7.5" customWidth="1"/>
    <col min="25" max="25" width="16.33203125" customWidth="1"/>
  </cols>
  <sheetData>
    <row r="1" spans="1:25" x14ac:dyDescent="0.2">
      <c r="A1" s="1" t="s">
        <v>38</v>
      </c>
      <c r="J1" s="92"/>
      <c r="K1" s="92"/>
      <c r="L1" s="92"/>
      <c r="M1" s="92"/>
    </row>
    <row r="2" spans="1:25" x14ac:dyDescent="0.2">
      <c r="A2" s="2" t="s">
        <v>104</v>
      </c>
      <c r="J2" s="92" t="s">
        <v>306</v>
      </c>
      <c r="K2" s="92"/>
      <c r="L2" s="92"/>
      <c r="M2" s="92"/>
      <c r="O2" s="92" t="s">
        <v>307</v>
      </c>
      <c r="T2" t="s">
        <v>308</v>
      </c>
    </row>
    <row r="3" spans="1:25" ht="30" x14ac:dyDescent="0.2">
      <c r="A3" s="8"/>
      <c r="B3" s="5" t="s">
        <v>99</v>
      </c>
      <c r="D3" s="5" t="s">
        <v>301</v>
      </c>
      <c r="E3" s="5" t="s">
        <v>302</v>
      </c>
      <c r="F3" s="5" t="s">
        <v>303</v>
      </c>
      <c r="G3" s="5" t="s">
        <v>304</v>
      </c>
      <c r="H3" s="5" t="s">
        <v>305</v>
      </c>
      <c r="I3" s="5"/>
      <c r="J3" s="5" t="s">
        <v>297</v>
      </c>
      <c r="K3" s="5" t="s">
        <v>298</v>
      </c>
      <c r="L3" s="5" t="s">
        <v>299</v>
      </c>
      <c r="M3" s="5" t="s">
        <v>300</v>
      </c>
      <c r="N3" s="5"/>
      <c r="O3" s="94" t="s">
        <v>297</v>
      </c>
      <c r="P3" s="94" t="s">
        <v>298</v>
      </c>
      <c r="Q3" s="94" t="s">
        <v>299</v>
      </c>
      <c r="R3" s="94" t="s">
        <v>300</v>
      </c>
      <c r="S3" s="5"/>
      <c r="T3" s="94" t="s">
        <v>297</v>
      </c>
      <c r="U3" s="94" t="s">
        <v>298</v>
      </c>
      <c r="V3" s="94" t="s">
        <v>299</v>
      </c>
      <c r="W3" s="94" t="s">
        <v>300</v>
      </c>
    </row>
    <row r="4" spans="1:25" x14ac:dyDescent="0.2">
      <c r="A4" s="17" t="s">
        <v>109</v>
      </c>
      <c r="B4" s="4">
        <v>43596</v>
      </c>
      <c r="D4" s="4">
        <v>30606</v>
      </c>
      <c r="E4" s="4">
        <v>10047</v>
      </c>
      <c r="F4" s="4">
        <v>2881</v>
      </c>
      <c r="G4" s="4">
        <v>0</v>
      </c>
      <c r="H4" s="4">
        <v>61</v>
      </c>
      <c r="I4" s="6"/>
      <c r="J4" s="93">
        <v>20.100000000000001</v>
      </c>
      <c r="K4" s="93">
        <v>11.2</v>
      </c>
      <c r="L4" s="93">
        <v>28.9</v>
      </c>
      <c r="M4" s="93">
        <v>39.800000000000004</v>
      </c>
      <c r="N4" s="95"/>
      <c r="O4" s="93">
        <v>23</v>
      </c>
      <c r="P4" s="93">
        <v>19.899999999999999</v>
      </c>
      <c r="Q4" s="93">
        <v>36.700000000000003</v>
      </c>
      <c r="R4" s="93">
        <v>20.399999999999999</v>
      </c>
      <c r="S4" s="95"/>
      <c r="T4" s="6">
        <f>(+($D4*J4*0.01)+($E4*O4*0.01)+(($F4+$G4+$H4)*'Pop Data'!Z4))</f>
        <v>8941.1594175911559</v>
      </c>
      <c r="U4" s="6">
        <f>(+($D4*K4*0.01)+($E4*P4*0.01)+(($F4+$G4+$H4)*'Pop Data'!AA4))</f>
        <v>5747.4104347984621</v>
      </c>
      <c r="V4" s="6">
        <f>(+($D4*L4*0.01)+($E4*Q4*0.01)+(($F4+$G4+$H4)*'Pop Data'!AB4))</f>
        <v>13665.562404948034</v>
      </c>
      <c r="W4" s="6">
        <f>(+($D4*M4*0.01)+($E4*R4*0.01)+(($F4+$G4+$H4)*'Pop Data'!AC4))</f>
        <v>15240.867742662347</v>
      </c>
      <c r="Y4" s="6"/>
    </row>
    <row r="5" spans="1:25" x14ac:dyDescent="0.2">
      <c r="A5" s="17" t="s">
        <v>110</v>
      </c>
      <c r="B5" s="4">
        <v>30025</v>
      </c>
      <c r="D5" s="4">
        <v>18901</v>
      </c>
      <c r="E5" s="4">
        <v>10672</v>
      </c>
      <c r="F5" s="4">
        <v>408</v>
      </c>
      <c r="G5" s="4">
        <v>0</v>
      </c>
      <c r="H5" s="4">
        <v>43</v>
      </c>
      <c r="I5" s="6"/>
      <c r="J5" s="92">
        <v>21.9</v>
      </c>
      <c r="K5" s="92">
        <v>15.399999999999999</v>
      </c>
      <c r="L5" s="92">
        <v>36.799999999999997</v>
      </c>
      <c r="M5" s="92">
        <v>25.9</v>
      </c>
      <c r="N5" s="95"/>
      <c r="O5" s="92">
        <v>22.9</v>
      </c>
      <c r="P5" s="92">
        <v>21.6</v>
      </c>
      <c r="Q5" s="92">
        <v>42.6</v>
      </c>
      <c r="R5" s="92">
        <v>12.899999999999991</v>
      </c>
      <c r="S5" s="95"/>
      <c r="T5" s="6">
        <f>(+($D5*J5*0.01)+($E5*O5*0.01)+(($F5+$G5+$H5)*'Pop Data'!Z5))</f>
        <v>6663.3601373597003</v>
      </c>
      <c r="U5" s="6">
        <f>(+($D5*K5*0.01)+($E5*P5*0.01)+(($F5+$G5+$H5)*'Pop Data'!AA5))</f>
        <v>5267.8252357028323</v>
      </c>
      <c r="V5" s="6">
        <f>(+($D5*L5*0.01)+($E5*Q5*0.01)+(($F5+$G5+$H5)*'Pop Data'!AB5))</f>
        <v>11674.119107429182</v>
      </c>
      <c r="W5" s="6">
        <f>(+($D5*M5*0.01)+($E5*R5*0.01)+(($F5+$G5+$H5)*'Pop Data'!AC5))</f>
        <v>6418.6955195082828</v>
      </c>
      <c r="Y5" s="6"/>
    </row>
    <row r="6" spans="1:25" x14ac:dyDescent="0.2">
      <c r="A6" s="17" t="s">
        <v>111</v>
      </c>
      <c r="B6" s="4">
        <v>176174</v>
      </c>
      <c r="D6" s="4">
        <v>86135</v>
      </c>
      <c r="E6" s="4">
        <v>86904</v>
      </c>
      <c r="F6" s="4">
        <v>3135</v>
      </c>
      <c r="G6" s="4">
        <v>0</v>
      </c>
      <c r="H6" s="4">
        <v>0</v>
      </c>
      <c r="I6" s="6"/>
      <c r="J6" s="92">
        <v>24.799999999999997</v>
      </c>
      <c r="K6" s="92">
        <v>13.899999999999999</v>
      </c>
      <c r="L6" s="92">
        <v>33.400000000000006</v>
      </c>
      <c r="M6" s="92">
        <v>27.9</v>
      </c>
      <c r="N6" s="95"/>
      <c r="O6" s="92">
        <v>30.5</v>
      </c>
      <c r="P6" s="92">
        <v>20.299999999999997</v>
      </c>
      <c r="Q6" s="92">
        <v>37</v>
      </c>
      <c r="R6" s="92">
        <v>12.200000000000003</v>
      </c>
      <c r="S6" s="95"/>
      <c r="T6" s="6">
        <f>(+($D6*J6*0.01)+($E6*O6*0.01)+(($F6+$G6+$H6)*'Pop Data'!Z6))</f>
        <v>48365.509988191698</v>
      </c>
      <c r="U6" s="6">
        <f>(+($D6*K6*0.01)+($E6*P6*0.01)+(($F6+$G6+$H6)*'Pop Data'!AA6))</f>
        <v>29966.269039578154</v>
      </c>
      <c r="V6" s="6">
        <f>(+($D6*L6*0.01)+($E6*Q6*0.01)+(($F6+$G6+$H6)*'Pop Data'!AB6))</f>
        <v>62160.007049554144</v>
      </c>
      <c r="W6" s="6">
        <f>(+($D6*M6*0.01)+($E6*R6*0.01)+(($F6+$G6+$H6)*'Pop Data'!AC6))</f>
        <v>35682.213922676005</v>
      </c>
      <c r="Y6" s="6"/>
    </row>
    <row r="7" spans="1:25" x14ac:dyDescent="0.2">
      <c r="A7" s="17" t="s">
        <v>112</v>
      </c>
      <c r="B7" s="4">
        <v>55002</v>
      </c>
      <c r="D7" s="4">
        <v>38224</v>
      </c>
      <c r="E7" s="4">
        <v>15304</v>
      </c>
      <c r="F7" s="4">
        <v>1474</v>
      </c>
      <c r="G7" s="4">
        <v>0</v>
      </c>
      <c r="H7" s="4">
        <v>0</v>
      </c>
      <c r="J7" s="92">
        <v>24.300000000000004</v>
      </c>
      <c r="K7" s="92">
        <v>12.9</v>
      </c>
      <c r="L7" s="92">
        <v>33.9</v>
      </c>
      <c r="M7" s="92">
        <v>28.899999999999991</v>
      </c>
      <c r="N7" s="95"/>
      <c r="O7" s="92">
        <v>31.9</v>
      </c>
      <c r="P7" s="92">
        <v>22</v>
      </c>
      <c r="Q7" s="92">
        <v>34.799999999999997</v>
      </c>
      <c r="R7" s="92">
        <v>11.299999999999997</v>
      </c>
      <c r="S7" s="95"/>
      <c r="T7" s="6">
        <f>(+($D7*J7*0.01)+($E7*O7*0.01)+(($F7+$G7+$H7)*'Pop Data'!Z7))</f>
        <v>14408.752850966621</v>
      </c>
      <c r="U7" s="6">
        <f>(+($D7*K7*0.01)+($E7*P7*0.01)+(($F7+$G7+$H7)*'Pop Data'!AA7))</f>
        <v>8461.7263376795854</v>
      </c>
      <c r="V7" s="6">
        <f>(+($D7*L7*0.01)+($E7*Q7*0.01)+(($F7+$G7+$H7)*'Pop Data'!AB7))</f>
        <v>18862.569938383498</v>
      </c>
      <c r="W7" s="6">
        <f>(+($D7*M7*0.01)+($E7*R7*0.01)+(($F7+$G7+$H7)*'Pop Data'!AC7))</f>
        <v>13268.950872970296</v>
      </c>
      <c r="Y7" s="6"/>
    </row>
    <row r="8" spans="1:25" x14ac:dyDescent="0.2">
      <c r="A8" s="17" t="s">
        <v>113</v>
      </c>
      <c r="B8" s="4">
        <v>1436201</v>
      </c>
      <c r="D8" s="4">
        <v>523483</v>
      </c>
      <c r="E8" s="4">
        <v>420029</v>
      </c>
      <c r="F8" s="4">
        <v>25157</v>
      </c>
      <c r="G8" s="4">
        <v>440146</v>
      </c>
      <c r="H8" s="4">
        <v>27385</v>
      </c>
      <c r="J8" s="92">
        <v>19.399999999999999</v>
      </c>
      <c r="K8" s="92">
        <v>10.7</v>
      </c>
      <c r="L8" s="92">
        <v>27.7</v>
      </c>
      <c r="M8" s="92">
        <v>42.199999999999989</v>
      </c>
      <c r="N8" s="95"/>
      <c r="O8" s="92">
        <v>32</v>
      </c>
      <c r="P8" s="92">
        <v>23.5</v>
      </c>
      <c r="Q8" s="92">
        <v>34.999999999999993</v>
      </c>
      <c r="R8" s="92">
        <v>9.5000000000000071</v>
      </c>
      <c r="S8" s="95"/>
      <c r="T8" s="6">
        <f>(+($D8*J8*0.01)+($E8*O8*0.01)+(($F8+$G8+$H8)*'Pop Data'!Z8))</f>
        <v>317406.03109894448</v>
      </c>
      <c r="U8" s="6">
        <f>(+($D8*K8*0.01)+($E8*P8*0.01)+(($F8+$G8+$H8)*'Pop Data'!AA8))</f>
        <v>208790.93572150441</v>
      </c>
      <c r="V8" s="6">
        <f>(+($D8*L8*0.01)+($E8*Q8*0.01)+(($F8+$G8+$H8)*'Pop Data'!AB8))</f>
        <v>481024.82697781071</v>
      </c>
      <c r="W8" s="6">
        <f>(+($D8*M8*0.01)+($E8*R8*0.01)+(($F8+$G8+$H8)*'Pop Data'!AC8))</f>
        <v>428978.20620174031</v>
      </c>
      <c r="Y8" s="6"/>
    </row>
    <row r="9" spans="1:25" x14ac:dyDescent="0.2">
      <c r="A9" s="17" t="s">
        <v>115</v>
      </c>
      <c r="B9" s="4">
        <v>78228</v>
      </c>
      <c r="D9" s="4">
        <v>54409</v>
      </c>
      <c r="E9" s="4">
        <v>20317</v>
      </c>
      <c r="F9" s="4">
        <v>3360</v>
      </c>
      <c r="G9" s="4">
        <v>0</v>
      </c>
      <c r="H9" s="4">
        <v>142</v>
      </c>
      <c r="J9" s="92">
        <v>15</v>
      </c>
      <c r="K9" s="92">
        <v>7.2</v>
      </c>
      <c r="L9" s="92">
        <v>20.8</v>
      </c>
      <c r="M9" s="92">
        <v>57</v>
      </c>
      <c r="N9" s="95"/>
      <c r="O9" s="92">
        <v>36.700000000000003</v>
      </c>
      <c r="P9" s="92">
        <v>18.5</v>
      </c>
      <c r="Q9" s="92">
        <v>34.500000000000007</v>
      </c>
      <c r="R9" s="92">
        <v>10.29999999999999</v>
      </c>
      <c r="S9" s="95"/>
      <c r="T9" s="6">
        <f>(+($D9*J9*0.01)+($E9*O9*0.01)+(($F9+$G9+$H9)*'Pop Data'!Z9))</f>
        <v>16184.606317303336</v>
      </c>
      <c r="U9" s="6">
        <f>(+($D9*K9*0.01)+($E9*P9*0.01)+(($F9+$G9+$H9)*'Pop Data'!AA9))</f>
        <v>8069.2239675983747</v>
      </c>
      <c r="V9" s="6">
        <f>(+($D9*L9*0.01)+($E9*Q9*0.01)+(($F9+$G9+$H9)*'Pop Data'!AB9))</f>
        <v>19727.793858038036</v>
      </c>
      <c r="W9" s="6">
        <f>(+($D9*M9*0.01)+($E9*R9*0.01)+(($F9+$G9+$H9)*'Pop Data'!AC9))</f>
        <v>34246.375857060259</v>
      </c>
      <c r="Y9" s="6"/>
    </row>
    <row r="10" spans="1:25" x14ac:dyDescent="0.2">
      <c r="A10" s="17" t="s">
        <v>114</v>
      </c>
      <c r="B10" s="4">
        <v>84956</v>
      </c>
      <c r="D10" s="4">
        <v>46358</v>
      </c>
      <c r="E10" s="4">
        <v>36139</v>
      </c>
      <c r="F10" s="4">
        <v>2459</v>
      </c>
      <c r="G10" s="4">
        <v>0</v>
      </c>
      <c r="H10" s="4">
        <v>0</v>
      </c>
      <c r="J10" s="92">
        <v>17.399999999999999</v>
      </c>
      <c r="K10" s="92">
        <v>8.5</v>
      </c>
      <c r="L10" s="92">
        <v>20.3</v>
      </c>
      <c r="M10" s="92">
        <v>53.8</v>
      </c>
      <c r="N10" s="95"/>
      <c r="O10" s="92">
        <v>42.4</v>
      </c>
      <c r="P10" s="92">
        <v>20.200000000000003</v>
      </c>
      <c r="Q10" s="92">
        <v>27.999999999999996</v>
      </c>
      <c r="R10" s="92">
        <v>9.4000000000000021</v>
      </c>
      <c r="S10" s="95"/>
      <c r="T10" s="6">
        <f>(+($D10*J10*0.01)+($E10*O10*0.01)+(($F10+$G10+$H10)*'Pop Data'!Z10))</f>
        <v>23740.004199093197</v>
      </c>
      <c r="U10" s="6">
        <f>(+($D10*K10*0.01)+($E10*P10*0.01)+(($F10+$G10+$H10)*'Pop Data'!AA10))</f>
        <v>11489.194353108407</v>
      </c>
      <c r="V10" s="6">
        <f>(+($D10*L10*0.01)+($E10*Q10*0.01)+(($F10+$G10+$H10)*'Pop Data'!AB10))</f>
        <v>20486.934976967023</v>
      </c>
      <c r="W10" s="6">
        <f>(+($D10*M10*0.01)+($E10*R10*0.01)+(($F10+$G10+$H10)*'Pop Data'!AC10))</f>
        <v>29239.86647083137</v>
      </c>
      <c r="Y10" s="6"/>
    </row>
    <row r="11" spans="1:25" x14ac:dyDescent="0.2">
      <c r="A11" s="17" t="s">
        <v>42</v>
      </c>
      <c r="B11" s="4">
        <v>5722</v>
      </c>
      <c r="D11" s="4">
        <v>3701</v>
      </c>
      <c r="E11" s="4">
        <v>1436</v>
      </c>
      <c r="F11" s="4">
        <v>586</v>
      </c>
      <c r="G11" s="4">
        <v>0</v>
      </c>
      <c r="H11" s="4">
        <v>0</v>
      </c>
      <c r="J11" s="92">
        <v>22.099999999999998</v>
      </c>
      <c r="K11" s="92">
        <v>9</v>
      </c>
      <c r="L11" s="92">
        <v>23.8</v>
      </c>
      <c r="M11" s="92">
        <v>45.100000000000009</v>
      </c>
      <c r="N11" s="95"/>
      <c r="O11" s="92">
        <v>31.9</v>
      </c>
      <c r="P11" s="92">
        <v>23.1</v>
      </c>
      <c r="Q11" s="92">
        <v>36.300000000000004</v>
      </c>
      <c r="R11" s="92">
        <v>8.6999999999999886</v>
      </c>
      <c r="S11" s="95"/>
      <c r="T11" s="6">
        <f>(+($D11*J11*0.01)+($E11*O11*0.01)+(($F11+$G11+$H11)*'Pop Data'!Z11))</f>
        <v>1372.9686381370395</v>
      </c>
      <c r="U11" s="6">
        <f>(+($D11*K11*0.01)+($E11*P11*0.01)+(($F11+$G11+$H11)*'Pop Data'!AA11))</f>
        <v>728.67871397220199</v>
      </c>
      <c r="V11" s="6">
        <f>(+($D11*L11*0.01)+($E11*Q11*0.01)+(($F11+$G11+$H11)*'Pop Data'!AB11))</f>
        <v>1629.3213913679592</v>
      </c>
      <c r="W11" s="6">
        <f>(+($D11*M11*0.01)+($E11*R11*0.01)+(($F11+$G11+$H11)*'Pop Data'!AC11))</f>
        <v>1992.0312565227994</v>
      </c>
      <c r="Y11" s="6"/>
    </row>
    <row r="12" spans="1:25" x14ac:dyDescent="0.2">
      <c r="A12" s="17" t="s">
        <v>116</v>
      </c>
      <c r="B12" s="4">
        <v>253876</v>
      </c>
      <c r="D12" s="4">
        <v>2558</v>
      </c>
      <c r="E12" s="4">
        <v>84049</v>
      </c>
      <c r="F12" s="4">
        <v>8407</v>
      </c>
      <c r="G12" s="4">
        <v>158861</v>
      </c>
      <c r="H12" s="4">
        <v>0</v>
      </c>
      <c r="J12" s="92">
        <v>27.3</v>
      </c>
      <c r="K12" s="92">
        <v>14.8</v>
      </c>
      <c r="L12" s="92">
        <v>32.199999999999996</v>
      </c>
      <c r="M12" s="92">
        <v>25.70000000000001</v>
      </c>
      <c r="N12" s="95"/>
      <c r="O12" s="92">
        <v>27.9</v>
      </c>
      <c r="P12" s="92">
        <v>19.899999999999999</v>
      </c>
      <c r="Q12" s="92">
        <v>36</v>
      </c>
      <c r="R12" s="92">
        <v>16.199999999999996</v>
      </c>
      <c r="S12" s="95"/>
      <c r="T12" s="6">
        <f>(+($D12*J12*0.01)+($E12*O12*0.01)+(($F12+$G12+$H12)*'Pop Data'!Z12))</f>
        <v>50792.499201595012</v>
      </c>
      <c r="U12" s="6">
        <f>(+($D12*K12*0.01)+($E12*P12*0.01)+(($F12+$G12+$H12)*'Pop Data'!AA12))</f>
        <v>35237.446953588777</v>
      </c>
      <c r="V12" s="6">
        <f>(+($D12*L12*0.01)+($E12*Q12*0.01)+(($F12+$G12+$H12)*'Pop Data'!AB12))</f>
        <v>95446.865517299273</v>
      </c>
      <c r="W12" s="6">
        <f>(+($D12*M12*0.01)+($E12*R12*0.01)+(($F12+$G12+$H12)*'Pop Data'!AC12))</f>
        <v>72398.188327516938</v>
      </c>
      <c r="Y12" s="6"/>
    </row>
    <row r="13" spans="1:25" x14ac:dyDescent="0.2">
      <c r="A13" s="17" t="s">
        <v>117</v>
      </c>
      <c r="B13" s="4">
        <v>111589</v>
      </c>
      <c r="D13" s="4">
        <v>72062</v>
      </c>
      <c r="E13" s="4">
        <v>36170</v>
      </c>
      <c r="F13" s="4">
        <v>3356</v>
      </c>
      <c r="G13" s="4">
        <v>0</v>
      </c>
      <c r="H13" s="4">
        <v>0</v>
      </c>
      <c r="J13" s="92">
        <v>23.1</v>
      </c>
      <c r="K13" s="92">
        <v>13.2</v>
      </c>
      <c r="L13" s="92">
        <v>31.899999999999995</v>
      </c>
      <c r="M13" s="92">
        <v>31.800000000000008</v>
      </c>
      <c r="N13" s="95"/>
      <c r="O13" s="92">
        <v>27.799999999999997</v>
      </c>
      <c r="P13" s="92">
        <v>20.399999999999999</v>
      </c>
      <c r="Q13" s="92">
        <v>38.6</v>
      </c>
      <c r="R13" s="92">
        <v>13.200000000000003</v>
      </c>
      <c r="S13" s="95"/>
      <c r="T13" s="6">
        <f>(+($D13*J13*0.01)+($E13*O13*0.01)+(($F13+$G13+$H13)*'Pop Data'!Z13))</f>
        <v>27239.550097183877</v>
      </c>
      <c r="U13" s="6">
        <f>(+($D13*K13*0.01)+($E13*P13*0.01)+(($F13+$G13+$H13)*'Pop Data'!AA13))</f>
        <v>17262.652397771199</v>
      </c>
      <c r="V13" s="6">
        <f>(+($D13*L13*0.01)+($E13*Q13*0.01)+(($F13+$G13+$H13)*'Pop Data'!AB13))</f>
        <v>38273.401574117765</v>
      </c>
      <c r="W13" s="6">
        <f>(+($D13*M13*0.01)+($E13*R13*0.01)+(($F13+$G13+$H13)*'Pop Data'!AC13))</f>
        <v>28812.395930927174</v>
      </c>
      <c r="Y13" s="6"/>
    </row>
    <row r="14" spans="1:25" x14ac:dyDescent="0.2">
      <c r="A14" s="17" t="s">
        <v>118</v>
      </c>
      <c r="B14" s="10">
        <v>0</v>
      </c>
      <c r="D14" s="4">
        <v>0</v>
      </c>
      <c r="E14" s="4">
        <v>0</v>
      </c>
      <c r="F14" s="4">
        <v>0</v>
      </c>
      <c r="G14" s="4">
        <v>0</v>
      </c>
      <c r="H14" s="4">
        <v>0</v>
      </c>
      <c r="J14" s="92">
        <v>22.1</v>
      </c>
      <c r="K14" s="92">
        <v>12.8</v>
      </c>
      <c r="L14" s="92">
        <v>35.5</v>
      </c>
      <c r="M14" s="92">
        <v>29.600000000000009</v>
      </c>
      <c r="N14" s="95"/>
      <c r="O14" s="92">
        <v>35.5</v>
      </c>
      <c r="P14" s="92">
        <v>16.100000000000001</v>
      </c>
      <c r="Q14" s="92">
        <v>37.800000000000004</v>
      </c>
      <c r="R14" s="92">
        <v>10.599999999999994</v>
      </c>
      <c r="S14" s="95"/>
      <c r="T14" s="6">
        <f>(+($D14*J14*0.01)+($E14*O14*0.01)+(($F14+$G14+$H14)*'Pop Data'!Z14))</f>
        <v>0</v>
      </c>
      <c r="U14" s="6">
        <f>(+($D14*K14*0.01)+($E14*P14*0.01)+(($F14+$G14+$H14)*'Pop Data'!AA14))</f>
        <v>0</v>
      </c>
      <c r="V14" s="6">
        <f>(+($D14*L14*0.01)+($E14*Q14*0.01)+(($F14+$G14+$H14)*'Pop Data'!AB14))</f>
        <v>0</v>
      </c>
      <c r="W14" s="6">
        <f>(+($D14*M14*0.01)+($E14*R14*0.01)+(($F14+$G14+$H14)*'Pop Data'!AC14))</f>
        <v>0</v>
      </c>
    </row>
    <row r="15" spans="1:25" x14ac:dyDescent="0.2">
      <c r="A15" s="17" t="s">
        <v>119</v>
      </c>
      <c r="B15" s="4">
        <v>15817</v>
      </c>
      <c r="D15" s="4">
        <v>9255</v>
      </c>
      <c r="E15" s="4">
        <v>6187</v>
      </c>
      <c r="F15" s="4">
        <v>373</v>
      </c>
      <c r="G15" s="4">
        <v>0</v>
      </c>
      <c r="H15" s="4">
        <v>3</v>
      </c>
      <c r="J15" s="92">
        <v>20.6</v>
      </c>
      <c r="K15" s="92">
        <v>15.3</v>
      </c>
      <c r="L15" s="92">
        <v>32.800000000000004</v>
      </c>
      <c r="M15" s="92">
        <v>31.300000000000004</v>
      </c>
      <c r="N15" s="95"/>
      <c r="O15" s="92">
        <v>25.1</v>
      </c>
      <c r="P15" s="92">
        <v>22.5</v>
      </c>
      <c r="Q15" s="92">
        <v>36.099999999999994</v>
      </c>
      <c r="R15" s="92">
        <v>16.300000000000011</v>
      </c>
      <c r="S15" s="95"/>
      <c r="T15" s="6">
        <f>(+($D15*J15*0.01)+($E15*O15*0.01)+(($F15+$G15+$H15)*'Pop Data'!Z15))</f>
        <v>3520.1429527583118</v>
      </c>
      <c r="U15" s="6">
        <f>(+($D15*K15*0.01)+($E15*P15*0.01)+(($F15+$G15+$H15)*'Pop Data'!AA15))</f>
        <v>2849.3339452541368</v>
      </c>
      <c r="V15" s="6">
        <f>(+($D15*L15*0.01)+($E15*Q15*0.01)+(($F15+$G15+$H15)*'Pop Data'!AB15))</f>
        <v>5415.3150680442686</v>
      </c>
      <c r="W15" s="6">
        <f>(+($D15*M15*0.01)+($E15*R15*0.01)+(($F15+$G15+$H15)*'Pop Data'!AC15))</f>
        <v>4033.2080339432846</v>
      </c>
    </row>
    <row r="16" spans="1:25" x14ac:dyDescent="0.2">
      <c r="A16" s="17" t="s">
        <v>120</v>
      </c>
      <c r="B16" s="4">
        <v>302122</v>
      </c>
      <c r="D16" s="4">
        <v>187082</v>
      </c>
      <c r="E16" s="4">
        <v>83467</v>
      </c>
      <c r="F16" s="4">
        <v>7931</v>
      </c>
      <c r="G16" s="4">
        <v>14137</v>
      </c>
      <c r="H16" s="4">
        <v>9505</v>
      </c>
      <c r="J16" s="92">
        <v>18.3</v>
      </c>
      <c r="K16" s="92">
        <v>13.9</v>
      </c>
      <c r="L16" s="92">
        <v>30</v>
      </c>
      <c r="M16" s="92">
        <v>37.799999999999997</v>
      </c>
      <c r="N16" s="95"/>
      <c r="O16" s="92">
        <v>14.299999999999999</v>
      </c>
      <c r="P16" s="92">
        <v>24.5</v>
      </c>
      <c r="Q16" s="92">
        <v>49.8</v>
      </c>
      <c r="R16" s="92">
        <v>11.400000000000006</v>
      </c>
      <c r="S16" s="95"/>
      <c r="T16" s="6">
        <f>(+($D16*J16*0.01)+($E16*O16*0.01)+(($F16+$G16+$H16)*'Pop Data'!Z16))</f>
        <v>51183.37920838983</v>
      </c>
      <c r="U16" s="6">
        <f>(+($D16*K16*0.01)+($E16*P16*0.01)+(($F16+$G16+$H16)*'Pop Data'!AA16))</f>
        <v>49853.382204308662</v>
      </c>
      <c r="V16" s="6">
        <f>(+($D16*L16*0.01)+($E16*Q16*0.01)+(($F16+$G16+$H16)*'Pop Data'!AB16))</f>
        <v>109968.77348058543</v>
      </c>
      <c r="W16" s="6">
        <f>(+($D16*M16*0.01)+($E16*R16*0.01)+(($F16+$G16+$H16)*'Pop Data'!AC16))</f>
        <v>91116.465106716074</v>
      </c>
    </row>
    <row r="17" spans="1:23" x14ac:dyDescent="0.2">
      <c r="A17" s="17" t="s">
        <v>121</v>
      </c>
      <c r="B17" s="4">
        <v>146420</v>
      </c>
      <c r="D17" s="4">
        <v>65592</v>
      </c>
      <c r="E17" s="4">
        <v>59655</v>
      </c>
      <c r="F17" s="4">
        <v>3019</v>
      </c>
      <c r="G17" s="4">
        <v>18155</v>
      </c>
      <c r="H17" s="4">
        <v>0</v>
      </c>
      <c r="J17" s="92">
        <v>21.6</v>
      </c>
      <c r="K17" s="92">
        <v>13.6</v>
      </c>
      <c r="L17" s="92">
        <v>31.700000000000003</v>
      </c>
      <c r="M17" s="92">
        <v>33.100000000000009</v>
      </c>
      <c r="N17" s="95"/>
      <c r="O17" s="92">
        <v>23.2</v>
      </c>
      <c r="P17" s="92">
        <v>22</v>
      </c>
      <c r="Q17" s="92">
        <v>40.200000000000003</v>
      </c>
      <c r="R17" s="92">
        <v>14.599999999999994</v>
      </c>
      <c r="S17" s="95"/>
      <c r="T17" s="6">
        <f>(+($D17*J17*0.01)+($E17*O17*0.01)+(($F17+$G17+$H17)*'Pop Data'!Z17))</f>
        <v>31370.482092963961</v>
      </c>
      <c r="U17" s="6">
        <f>(+($D17*K17*0.01)+($E17*P17*0.01)+(($F17+$G17+$H17)*'Pop Data'!AA17))</f>
        <v>24343.11850684867</v>
      </c>
      <c r="V17" s="6">
        <f>(+($D17*L17*0.01)+($E17*Q17*0.01)+(($F17+$G17+$H17)*'Pop Data'!AB17))</f>
        <v>53047.918888930224</v>
      </c>
      <c r="W17" s="6">
        <f>(+($D17*M17*0.01)+($E17*R17*0.01)+(($F17+$G17+$H17)*'Pop Data'!AC17))</f>
        <v>37659.480511257156</v>
      </c>
    </row>
    <row r="18" spans="1:23" x14ac:dyDescent="0.2">
      <c r="A18" s="17" t="s">
        <v>122</v>
      </c>
      <c r="B18" s="4">
        <v>59415</v>
      </c>
      <c r="D18" s="4">
        <v>22585</v>
      </c>
      <c r="E18" s="4">
        <v>34619</v>
      </c>
      <c r="F18" s="4">
        <v>2191</v>
      </c>
      <c r="G18" s="4">
        <v>0</v>
      </c>
      <c r="H18" s="4">
        <v>20</v>
      </c>
      <c r="J18" s="92">
        <v>17.399999999999999</v>
      </c>
      <c r="K18" s="92">
        <v>11.7</v>
      </c>
      <c r="L18" s="92">
        <v>27.200000000000003</v>
      </c>
      <c r="M18" s="92">
        <v>43.699999999999989</v>
      </c>
      <c r="N18" s="95"/>
      <c r="O18" s="92">
        <v>31.400000000000002</v>
      </c>
      <c r="P18" s="92">
        <v>20.7</v>
      </c>
      <c r="Q18" s="92">
        <v>36.9</v>
      </c>
      <c r="R18" s="92">
        <v>10.999999999999993</v>
      </c>
      <c r="S18" s="95"/>
      <c r="T18" s="6">
        <f>(+($D18*J18*0.01)+($E18*O18*0.01)+(($F18+$G18+$H18)*'Pop Data'!Z18))</f>
        <v>15153.449671926115</v>
      </c>
      <c r="U18" s="6">
        <f>(+($D18*K18*0.01)+($E18*P18*0.01)+(($F18+$G18+$H18)*'Pop Data'!AA18))</f>
        <v>10055.828521126547</v>
      </c>
      <c r="V18" s="6">
        <f>(+($D18*L18*0.01)+($E18*Q18*0.01)+(($F18+$G18+$H18)*'Pop Data'!AB18))</f>
        <v>19783.984342056814</v>
      </c>
      <c r="W18" s="6">
        <f>(+($D18*M18*0.01)+($E18*R18*0.01)+(($F18+$G18+$H18)*'Pop Data'!AC18))</f>
        <v>14421.737464890522</v>
      </c>
    </row>
    <row r="19" spans="1:23" x14ac:dyDescent="0.2">
      <c r="A19" s="17" t="s">
        <v>123</v>
      </c>
      <c r="B19" s="4">
        <v>38355</v>
      </c>
      <c r="D19" s="4">
        <v>21541</v>
      </c>
      <c r="E19" s="4">
        <v>14678</v>
      </c>
      <c r="F19" s="4">
        <v>2136</v>
      </c>
      <c r="G19" s="4">
        <v>0</v>
      </c>
      <c r="H19" s="4">
        <v>0</v>
      </c>
      <c r="J19" s="92">
        <v>19.2</v>
      </c>
      <c r="K19" s="92">
        <v>12.3</v>
      </c>
      <c r="L19" s="92">
        <v>32.299999999999997</v>
      </c>
      <c r="M19" s="92">
        <v>36.200000000000003</v>
      </c>
      <c r="N19" s="95"/>
      <c r="O19" s="92">
        <v>24.2</v>
      </c>
      <c r="P19" s="92">
        <v>20.6</v>
      </c>
      <c r="Q19" s="92">
        <v>40.500000000000007</v>
      </c>
      <c r="R19" s="92">
        <v>14.699999999999989</v>
      </c>
      <c r="S19" s="95"/>
      <c r="T19" s="6">
        <f>(+($D19*J19*0.01)+($E19*O19*0.01)+(($F19+$G19+$H19)*'Pop Data'!Z19))</f>
        <v>8046.1175089354747</v>
      </c>
      <c r="U19" s="6">
        <f>(+($D19*K19*0.01)+($E19*P19*0.01)+(($F19+$G19+$H19)*'Pop Data'!AA19))</f>
        <v>5914.4835927234981</v>
      </c>
      <c r="V19" s="6">
        <f>(+($D19*L19*0.01)+($E19*Q19*0.01)+(($F19+$G19+$H19)*'Pop Data'!AB19))</f>
        <v>13737.350153018622</v>
      </c>
      <c r="W19" s="6">
        <f>(+($D19*M19*0.01)+($E19*R19*0.01)+(($F19+$G19+$H19)*'Pop Data'!AC19))</f>
        <v>10657.048745322405</v>
      </c>
    </row>
    <row r="20" spans="1:23" x14ac:dyDescent="0.2">
      <c r="A20" s="17" t="s">
        <v>124</v>
      </c>
      <c r="B20" s="4">
        <v>83791</v>
      </c>
      <c r="D20" s="4">
        <v>38050</v>
      </c>
      <c r="E20" s="4">
        <v>43018</v>
      </c>
      <c r="F20" s="4">
        <v>2723</v>
      </c>
      <c r="G20" s="4">
        <v>0</v>
      </c>
      <c r="H20" s="4">
        <v>0</v>
      </c>
      <c r="J20" s="92">
        <v>18.8</v>
      </c>
      <c r="K20" s="92">
        <v>12</v>
      </c>
      <c r="L20" s="92">
        <v>28.4</v>
      </c>
      <c r="M20" s="92">
        <v>40.800000000000004</v>
      </c>
      <c r="N20" s="95"/>
      <c r="O20" s="92">
        <v>21.5</v>
      </c>
      <c r="P20" s="92">
        <v>19.799999999999997</v>
      </c>
      <c r="Q20" s="92">
        <v>40.200000000000003</v>
      </c>
      <c r="R20" s="92">
        <v>18.5</v>
      </c>
      <c r="S20" s="95"/>
      <c r="T20" s="6">
        <f>(+($D20*J20*0.01)+($E20*O20*0.01)+(($F20+$G20+$H20)*'Pop Data'!Z20))</f>
        <v>16849.031784572959</v>
      </c>
      <c r="U20" s="6">
        <f>(+($D20*K20*0.01)+($E20*P20*0.01)+(($F20+$G20+$H20)*'Pop Data'!AA20))</f>
        <v>13384.342382853516</v>
      </c>
      <c r="V20" s="6">
        <f>(+($D20*L20*0.01)+($E20*Q20*0.01)+(($F20+$G20+$H20)*'Pop Data'!AB20))</f>
        <v>29161.425200953021</v>
      </c>
      <c r="W20" s="6">
        <f>(+($D20*M20*0.01)+($E20*R20*0.01)+(($F20+$G20+$H20)*'Pop Data'!AC20))</f>
        <v>24396.200631620508</v>
      </c>
    </row>
    <row r="21" spans="1:23" x14ac:dyDescent="0.2">
      <c r="A21" s="17" t="s">
        <v>125</v>
      </c>
      <c r="B21" s="4">
        <v>63240</v>
      </c>
      <c r="D21" s="4">
        <v>43267</v>
      </c>
      <c r="E21" s="4">
        <v>17682</v>
      </c>
      <c r="F21" s="4">
        <v>2154</v>
      </c>
      <c r="G21" s="4">
        <v>0</v>
      </c>
      <c r="H21" s="4">
        <v>137</v>
      </c>
      <c r="J21" s="92">
        <v>21.3</v>
      </c>
      <c r="K21" s="92">
        <v>14.5</v>
      </c>
      <c r="L21" s="92">
        <v>33.4</v>
      </c>
      <c r="M21" s="92">
        <v>30.800000000000004</v>
      </c>
      <c r="N21" s="95"/>
      <c r="O21" s="92">
        <v>24.700000000000003</v>
      </c>
      <c r="P21" s="92">
        <v>27.799999999999997</v>
      </c>
      <c r="Q21" s="92">
        <v>38.699999999999996</v>
      </c>
      <c r="R21" s="92">
        <v>8.8000000000000043</v>
      </c>
      <c r="S21" s="95"/>
      <c r="T21" s="6">
        <f>(+($D21*J21*0.01)+($E21*O21*0.01)+(($F21+$G21+$H21)*'Pop Data'!Z21))</f>
        <v>13969.186735923056</v>
      </c>
      <c r="U21" s="6">
        <f>(+($D21*K21*0.01)+($E21*P21*0.01)+(($F21+$G21+$H21)*'Pop Data'!AA21))</f>
        <v>11448.579851488143</v>
      </c>
      <c r="V21" s="6">
        <f>(+($D21*L21*0.01)+($E21*Q21*0.01)+(($F21+$G21+$H21)*'Pop Data'!AB21))</f>
        <v>22182.947109585501</v>
      </c>
      <c r="W21" s="6">
        <f>(+($D21*M21*0.01)+($E21*R21*0.01)+(($F21+$G21+$H21)*'Pop Data'!AC21))</f>
        <v>15639.286303003304</v>
      </c>
    </row>
    <row r="22" spans="1:23" x14ac:dyDescent="0.2">
      <c r="A22" s="17" t="s">
        <v>0</v>
      </c>
      <c r="B22" s="4">
        <v>31672</v>
      </c>
      <c r="D22" s="4">
        <v>16482</v>
      </c>
      <c r="E22" s="4">
        <v>14301</v>
      </c>
      <c r="F22" s="4">
        <v>479</v>
      </c>
      <c r="G22" s="4">
        <v>0</v>
      </c>
      <c r="H22" s="4">
        <v>410</v>
      </c>
      <c r="J22" s="92">
        <v>30.200000000000003</v>
      </c>
      <c r="K22" s="92">
        <v>14.399999999999999</v>
      </c>
      <c r="L22" s="92">
        <v>28.900000000000002</v>
      </c>
      <c r="M22" s="92">
        <v>26.499999999999996</v>
      </c>
      <c r="N22" s="95"/>
      <c r="O22" s="92">
        <v>28.7</v>
      </c>
      <c r="P22" s="92">
        <v>22.6</v>
      </c>
      <c r="Q22" s="92">
        <v>31.699999999999996</v>
      </c>
      <c r="R22" s="92">
        <v>17</v>
      </c>
      <c r="S22" s="95"/>
      <c r="T22" s="6">
        <f>(+($D22*J22*0.01)+($E22*O22*0.01)+(($F22+$G22+$H22)*'Pop Data'!Z22))</f>
        <v>9213.4866801720837</v>
      </c>
      <c r="U22" s="6">
        <f>(+($D22*K22*0.01)+($E22*P22*0.01)+(($F22+$G22+$H22)*'Pop Data'!AA22))</f>
        <v>5697.5674809979018</v>
      </c>
      <c r="V22" s="6">
        <f>(+($D22*L22*0.01)+($E22*Q22*0.01)+(($F22+$G22+$H22)*'Pop Data'!AB22))</f>
        <v>9641.171659571748</v>
      </c>
      <c r="W22" s="6">
        <f>(+($D22*M22*0.01)+($E22*R22*0.01)+(($F22+$G22+$H22)*'Pop Data'!AC22))</f>
        <v>7119.7741792582674</v>
      </c>
    </row>
    <row r="23" spans="1:23" x14ac:dyDescent="0.2">
      <c r="A23" s="17" t="s">
        <v>1</v>
      </c>
      <c r="B23" s="4">
        <v>92162</v>
      </c>
      <c r="D23" s="4">
        <v>58990</v>
      </c>
      <c r="E23" s="4">
        <v>27939</v>
      </c>
      <c r="F23" s="4">
        <v>5016</v>
      </c>
      <c r="G23" s="4">
        <v>0</v>
      </c>
      <c r="H23" s="4">
        <v>217</v>
      </c>
      <c r="J23" s="92">
        <v>17.5</v>
      </c>
      <c r="K23" s="92">
        <v>10.6</v>
      </c>
      <c r="L23" s="92">
        <v>25.4</v>
      </c>
      <c r="M23" s="92">
        <v>46.500000000000007</v>
      </c>
      <c r="N23" s="95"/>
      <c r="O23" s="92">
        <v>31.200000000000003</v>
      </c>
      <c r="P23" s="92">
        <v>20.3</v>
      </c>
      <c r="Q23" s="92">
        <v>30.6</v>
      </c>
      <c r="R23" s="92">
        <v>17.899999999999999</v>
      </c>
      <c r="S23" s="95"/>
      <c r="T23" s="6">
        <f>(+($D23*J23*0.01)+($E23*O23*0.01)+(($F23+$G23+$H23)*'Pop Data'!Z23))</f>
        <v>19889.14160023813</v>
      </c>
      <c r="U23" s="6">
        <f>(+($D23*K23*0.01)+($E23*P23*0.01)+(($F23+$G23+$H23)*'Pop Data'!AA23))</f>
        <v>12497.881645036465</v>
      </c>
      <c r="V23" s="6">
        <f>(+($D23*L23*0.01)+($E23*Q23*0.01)+(($F23+$G23+$H23)*'Pop Data'!AB23))</f>
        <v>25551.5100061021</v>
      </c>
      <c r="W23" s="6">
        <f>(+($D23*M23*0.01)+($E23*R23*0.01)+(($F23+$G23+$H23)*'Pop Data'!AC23))</f>
        <v>34223.466748623308</v>
      </c>
    </row>
    <row r="24" spans="1:23" x14ac:dyDescent="0.2">
      <c r="A24" s="17" t="s">
        <v>2</v>
      </c>
      <c r="B24" s="4">
        <v>90532</v>
      </c>
      <c r="D24" s="4">
        <v>53829</v>
      </c>
      <c r="E24" s="4">
        <v>30760</v>
      </c>
      <c r="F24" s="4">
        <v>4442</v>
      </c>
      <c r="G24" s="4">
        <v>0</v>
      </c>
      <c r="H24" s="4">
        <v>1501</v>
      </c>
      <c r="J24" s="92">
        <v>17.7</v>
      </c>
      <c r="K24" s="92">
        <v>10.199999999999999</v>
      </c>
      <c r="L24" s="92">
        <v>24.999999999999996</v>
      </c>
      <c r="M24" s="92">
        <v>47.099999999999994</v>
      </c>
      <c r="N24" s="95"/>
      <c r="O24" s="92">
        <v>28.2</v>
      </c>
      <c r="P24" s="92">
        <v>24.1</v>
      </c>
      <c r="Q24" s="92">
        <v>40.799999999999997</v>
      </c>
      <c r="R24" s="92">
        <v>6.8999999999999986</v>
      </c>
      <c r="S24" s="95"/>
      <c r="T24" s="6">
        <f>(+($D24*J24*0.01)+($E24*O24*0.01)+(($F24+$G24+$H24)*'Pop Data'!Z24))</f>
        <v>19129.403823275046</v>
      </c>
      <c r="U24" s="6">
        <f>(+($D24*K24*0.01)+($E24*P24*0.01)+(($F24+$G24+$H24)*'Pop Data'!AA24))</f>
        <v>13526.589809563904</v>
      </c>
      <c r="V24" s="6">
        <f>(+($D24*L24*0.01)+($E24*Q24*0.01)+(($F24+$G24+$H24)*'Pop Data'!AB24))</f>
        <v>28294.864346357073</v>
      </c>
      <c r="W24" s="6">
        <f>(+($D24*M24*0.01)+($E24*R24*0.01)+(($F24+$G24+$H24)*'Pop Data'!AC24))</f>
        <v>29581.142020803971</v>
      </c>
    </row>
    <row r="25" spans="1:23" x14ac:dyDescent="0.2">
      <c r="A25" s="17" t="s">
        <v>3</v>
      </c>
      <c r="B25" s="4">
        <v>240564</v>
      </c>
      <c r="D25" s="4">
        <v>123634</v>
      </c>
      <c r="E25" s="4">
        <v>108908</v>
      </c>
      <c r="F25" s="4">
        <v>6924</v>
      </c>
      <c r="G25" s="4">
        <v>0</v>
      </c>
      <c r="H25" s="4">
        <v>1098</v>
      </c>
      <c r="J25" s="92">
        <v>20.8</v>
      </c>
      <c r="K25" s="92">
        <v>11.6</v>
      </c>
      <c r="L25" s="92">
        <v>26.799999999999997</v>
      </c>
      <c r="M25" s="92">
        <v>40.800000000000011</v>
      </c>
      <c r="N25" s="95"/>
      <c r="O25" s="92">
        <v>28.7</v>
      </c>
      <c r="P25" s="92">
        <v>19.8</v>
      </c>
      <c r="Q25" s="92">
        <v>39.299999999999997</v>
      </c>
      <c r="R25" s="92">
        <v>12.200000000000003</v>
      </c>
      <c r="S25" s="95"/>
      <c r="T25" s="6">
        <f>(+($D25*J25*0.01)+($E25*O25*0.01)+(($F25+$G25+$H25)*'Pop Data'!Z25))</f>
        <v>58176.87741386141</v>
      </c>
      <c r="U25" s="6">
        <f>(+($D25*K25*0.01)+($E25*P25*0.01)+(($F25+$G25+$H25)*'Pop Data'!AA25))</f>
        <v>36738.255402100694</v>
      </c>
      <c r="V25" s="6">
        <f>(+($D25*L25*0.01)+($E25*Q25*0.01)+(($F25+$G25+$H25)*'Pop Data'!AB25))</f>
        <v>79042.448939603943</v>
      </c>
      <c r="W25" s="6">
        <f>(+($D25*M25*0.01)+($E25*R25*0.01)+(($F25+$G25+$H25)*'Pop Data'!AC25))</f>
        <v>66606.418244433968</v>
      </c>
    </row>
    <row r="26" spans="1:23" x14ac:dyDescent="0.2">
      <c r="A26" s="17" t="s">
        <v>4</v>
      </c>
      <c r="B26" s="4">
        <v>66491</v>
      </c>
      <c r="D26" s="4">
        <v>39467</v>
      </c>
      <c r="E26" s="4">
        <v>24678</v>
      </c>
      <c r="F26" s="4">
        <v>2347</v>
      </c>
      <c r="G26" s="4">
        <v>0</v>
      </c>
      <c r="H26" s="4">
        <v>0</v>
      </c>
      <c r="J26" s="92">
        <v>17.899999999999999</v>
      </c>
      <c r="K26" s="92">
        <v>9.8000000000000007</v>
      </c>
      <c r="L26" s="92">
        <v>25.599999999999998</v>
      </c>
      <c r="M26" s="92">
        <v>46.7</v>
      </c>
      <c r="N26" s="95"/>
      <c r="O26" s="92">
        <v>29.9</v>
      </c>
      <c r="P26" s="92">
        <v>20</v>
      </c>
      <c r="Q26" s="92">
        <v>36</v>
      </c>
      <c r="R26" s="92">
        <v>14.099999999999994</v>
      </c>
      <c r="S26" s="95"/>
      <c r="T26" s="6">
        <f>(+($D26*J26*0.01)+($E26*O26*0.01)+(($F26+$G26+$H26)*'Pop Data'!Z26))</f>
        <v>14822.158893498245</v>
      </c>
      <c r="U26" s="6">
        <f>(+($D26*K26*0.01)+($E26*P26*0.01)+(($F26+$G26+$H26)*'Pop Data'!AA26))</f>
        <v>9065.1604070750436</v>
      </c>
      <c r="V26" s="6">
        <f>(+($D26*L26*0.01)+($E26*Q26*0.01)+(($F26+$G26+$H26)*'Pop Data'!AB26))</f>
        <v>19909.964076687029</v>
      </c>
      <c r="W26" s="6">
        <f>(+($D26*M26*0.01)+($E26*R26*0.01)+(($F26+$G26+$H26)*'Pop Data'!AC26))</f>
        <v>22694.716622739685</v>
      </c>
    </row>
    <row r="27" spans="1:23" x14ac:dyDescent="0.2">
      <c r="A27" s="17" t="s">
        <v>5</v>
      </c>
      <c r="B27" s="4">
        <v>23479</v>
      </c>
      <c r="D27" s="4">
        <v>15378</v>
      </c>
      <c r="E27" s="4">
        <v>7055</v>
      </c>
      <c r="F27" s="4">
        <v>1046</v>
      </c>
      <c r="G27" s="4">
        <v>0</v>
      </c>
      <c r="H27" s="4">
        <v>0</v>
      </c>
      <c r="J27" s="92">
        <v>19.5</v>
      </c>
      <c r="K27" s="92">
        <v>12.6</v>
      </c>
      <c r="L27" s="92">
        <v>31.599999999999998</v>
      </c>
      <c r="M27" s="92">
        <v>36.300000000000011</v>
      </c>
      <c r="N27" s="95"/>
      <c r="O27" s="92">
        <v>23.7</v>
      </c>
      <c r="P27" s="92">
        <v>20.399999999999999</v>
      </c>
      <c r="Q27" s="92">
        <v>39.700000000000003</v>
      </c>
      <c r="R27" s="92">
        <v>16.199999999999996</v>
      </c>
      <c r="S27" s="95"/>
      <c r="T27" s="6">
        <f>(+($D27*J27*0.01)+($E27*O27*0.01)+(($F27+$G27+$H27)*'Pop Data'!Z27))</f>
        <v>4838.0161928762045</v>
      </c>
      <c r="U27" s="6">
        <f>(+($D27*K27*0.01)+($E27*P27*0.01)+(($F27+$G27+$H27)*'Pop Data'!AA27))</f>
        <v>3495.6289314762662</v>
      </c>
      <c r="V27" s="6">
        <f>(+($D27*L27*0.01)+($E27*Q27*0.01)+(($F27+$G27+$H27)*'Pop Data'!AB27))</f>
        <v>8068.9304958173061</v>
      </c>
      <c r="W27" s="6">
        <f>(+($D27*M27*0.01)+($E27*R27*0.01)+(($F27+$G27+$H27)*'Pop Data'!AC27))</f>
        <v>7076.424379830225</v>
      </c>
    </row>
    <row r="28" spans="1:23" x14ac:dyDescent="0.2">
      <c r="A28" s="17" t="s">
        <v>6</v>
      </c>
      <c r="B28" s="4">
        <v>99541</v>
      </c>
      <c r="D28" s="4">
        <v>57391</v>
      </c>
      <c r="E28" s="4">
        <v>37510</v>
      </c>
      <c r="F28" s="4">
        <v>3345</v>
      </c>
      <c r="G28" s="4">
        <v>0</v>
      </c>
      <c r="H28" s="4">
        <v>1295</v>
      </c>
      <c r="J28" s="92">
        <v>20.799999999999997</v>
      </c>
      <c r="K28" s="92">
        <v>12.899999999999999</v>
      </c>
      <c r="L28" s="92">
        <v>33.100000000000009</v>
      </c>
      <c r="M28" s="92">
        <v>33.200000000000003</v>
      </c>
      <c r="N28" s="95"/>
      <c r="O28" s="92">
        <v>28.2</v>
      </c>
      <c r="P28" s="92">
        <v>18.399999999999999</v>
      </c>
      <c r="Q28" s="92">
        <v>39.300000000000004</v>
      </c>
      <c r="R28" s="92">
        <v>14.099999999999994</v>
      </c>
      <c r="S28" s="95"/>
      <c r="T28" s="6">
        <f>(+($D28*J28*0.01)+($E28*O28*0.01)+(($F28+$G28+$H28)*'Pop Data'!Z28))</f>
        <v>23257.425675056555</v>
      </c>
      <c r="U28" s="6">
        <f>(+($D28*K28*0.01)+($E28*P28*0.01)+(($F28+$G28+$H28)*'Pop Data'!AA28))</f>
        <v>14816.818770925736</v>
      </c>
      <c r="V28" s="6">
        <f>(+($D28*L28*0.01)+($E28*Q28*0.01)+(($F28+$G28+$H28)*'Pop Data'!AB28))</f>
        <v>35546.134353818212</v>
      </c>
      <c r="W28" s="6">
        <f>(+($D28*M28*0.01)+($E28*R28*0.01)+(($F28+$G28+$H28)*'Pop Data'!AC28))</f>
        <v>25920.621200199508</v>
      </c>
    </row>
    <row r="29" spans="1:23" x14ac:dyDescent="0.2">
      <c r="A29" s="17" t="s">
        <v>7</v>
      </c>
      <c r="B29" s="4">
        <v>19564</v>
      </c>
      <c r="D29" s="4">
        <v>10970</v>
      </c>
      <c r="E29" s="4">
        <v>7145</v>
      </c>
      <c r="F29" s="4">
        <v>626</v>
      </c>
      <c r="G29" s="4">
        <v>0</v>
      </c>
      <c r="H29" s="4">
        <v>823</v>
      </c>
      <c r="J29" s="92">
        <v>25.200000000000003</v>
      </c>
      <c r="K29" s="92">
        <v>15.799999999999999</v>
      </c>
      <c r="L29" s="92">
        <v>37.200000000000003</v>
      </c>
      <c r="M29" s="92">
        <v>21.799999999999997</v>
      </c>
      <c r="N29" s="95"/>
      <c r="O29" s="92">
        <v>20</v>
      </c>
      <c r="P29" s="92">
        <v>22</v>
      </c>
      <c r="Q29" s="92">
        <v>43.599999999999994</v>
      </c>
      <c r="R29" s="92">
        <v>14.400000000000006</v>
      </c>
      <c r="S29" s="95"/>
      <c r="T29" s="6">
        <f>(+($D29*J29*0.01)+($E29*O29*0.01)+(($F29+$G29+$H29)*'Pop Data'!Z29))</f>
        <v>4427.6247193440859</v>
      </c>
      <c r="U29" s="6">
        <f>(+($D29*K29*0.01)+($E29*P29*0.01)+(($F29+$G29+$H29)*'Pop Data'!AA29))</f>
        <v>3468.9248076403278</v>
      </c>
      <c r="V29" s="6">
        <f>(+($D29*L29*0.01)+($E29*Q29*0.01)+(($F29+$G29+$H29)*'Pop Data'!AB29))</f>
        <v>7760.6073195783401</v>
      </c>
      <c r="W29" s="6">
        <f>(+($D29*M29*0.01)+($E29*R29*0.01)+(($F29+$G29+$H29)*'Pop Data'!AC29))</f>
        <v>3906.8431534372467</v>
      </c>
    </row>
    <row r="30" spans="1:23" x14ac:dyDescent="0.2">
      <c r="A30" s="17" t="s">
        <v>8</v>
      </c>
      <c r="B30" s="4">
        <v>29953</v>
      </c>
      <c r="D30" s="4">
        <v>17037</v>
      </c>
      <c r="E30" s="4">
        <v>10703</v>
      </c>
      <c r="F30" s="4">
        <v>2183</v>
      </c>
      <c r="G30" s="4">
        <v>0</v>
      </c>
      <c r="H30" s="4">
        <v>30</v>
      </c>
      <c r="J30" s="92">
        <v>14.7</v>
      </c>
      <c r="K30" s="92">
        <v>10.3</v>
      </c>
      <c r="L30" s="92">
        <v>28.2</v>
      </c>
      <c r="M30" s="92">
        <v>46.8</v>
      </c>
      <c r="N30" s="95"/>
      <c r="O30" s="92">
        <v>25.1</v>
      </c>
      <c r="P30" s="92">
        <v>28.6</v>
      </c>
      <c r="Q30" s="92">
        <v>35.200000000000003</v>
      </c>
      <c r="R30" s="92">
        <v>11.100000000000001</v>
      </c>
      <c r="S30" s="95"/>
      <c r="T30" s="6">
        <f>(+($D30*J30*0.01)+($E30*O30*0.01)+(($F30+$G30+$H30)*'Pop Data'!Z30))</f>
        <v>5568.9078630139938</v>
      </c>
      <c r="U30" s="6">
        <f>(+($D30*K30*0.01)+($E30*P30*0.01)+(($F30+$G30+$H30)*'Pop Data'!AA30))</f>
        <v>5069.5016604158354</v>
      </c>
      <c r="V30" s="6">
        <f>(+($D30*L30*0.01)+($E30*Q30*0.01)+(($F30+$G30+$H30)*'Pop Data'!AB30))</f>
        <v>9443.0929499034337</v>
      </c>
      <c r="W30" s="6">
        <f>(+($D30*M30*0.01)+($E30*R30*0.01)+(($F30+$G30+$H30)*'Pop Data'!AC30))</f>
        <v>9871.4975266667388</v>
      </c>
    </row>
    <row r="31" spans="1:23" x14ac:dyDescent="0.2">
      <c r="A31" s="17" t="s">
        <v>92</v>
      </c>
      <c r="B31" s="4">
        <v>51492</v>
      </c>
      <c r="D31" s="4">
        <v>31930</v>
      </c>
      <c r="E31" s="4">
        <v>17375</v>
      </c>
      <c r="F31" s="4">
        <v>2187</v>
      </c>
      <c r="G31" s="4">
        <v>0</v>
      </c>
      <c r="H31" s="4">
        <v>0</v>
      </c>
      <c r="J31" s="92">
        <v>26.2</v>
      </c>
      <c r="K31" s="92">
        <v>15.8</v>
      </c>
      <c r="L31" s="92">
        <v>33.4</v>
      </c>
      <c r="M31" s="92">
        <v>24.6</v>
      </c>
      <c r="N31" s="95"/>
      <c r="O31" s="92">
        <v>28.9</v>
      </c>
      <c r="P31" s="92">
        <v>21.1</v>
      </c>
      <c r="Q31" s="92">
        <v>38.4</v>
      </c>
      <c r="R31" s="92">
        <v>11.599999999999994</v>
      </c>
      <c r="S31" s="95"/>
      <c r="T31" s="6">
        <f>(+($D31*J31*0.01)+($E31*O31*0.01)+(($F31+$G31+$H31)*'Pop Data'!Z31))</f>
        <v>13744.491444785355</v>
      </c>
      <c r="U31" s="6">
        <f>(+($D31*K31*0.01)+($E31*P31*0.01)+(($F31+$G31+$H31)*'Pop Data'!AA31))</f>
        <v>8957.7218115819724</v>
      </c>
      <c r="V31" s="6">
        <f>(+($D31*L31*0.01)+($E31*Q31*0.01)+(($F31+$G31+$H31)*'Pop Data'!AB31))</f>
        <v>18187.933865786195</v>
      </c>
      <c r="W31" s="6">
        <f>(+($D31*M31*0.01)+($E31*R31*0.01)+(($F31+$G31+$H31)*'Pop Data'!AC31))</f>
        <v>10601.852877846477</v>
      </c>
    </row>
    <row r="32" spans="1:23" x14ac:dyDescent="0.2">
      <c r="A32" s="17" t="s">
        <v>9</v>
      </c>
      <c r="B32" s="4">
        <v>14730</v>
      </c>
      <c r="D32" s="4">
        <v>10149</v>
      </c>
      <c r="E32" s="4">
        <v>4047</v>
      </c>
      <c r="F32" s="4">
        <v>535</v>
      </c>
      <c r="G32" s="4">
        <v>0</v>
      </c>
      <c r="H32" s="4">
        <v>0</v>
      </c>
      <c r="J32" s="92">
        <v>18</v>
      </c>
      <c r="K32" s="92">
        <v>12.2</v>
      </c>
      <c r="L32" s="92">
        <v>23.700000000000003</v>
      </c>
      <c r="M32" s="92">
        <v>46.099999999999994</v>
      </c>
      <c r="N32" s="95"/>
      <c r="O32" s="92">
        <v>21.9</v>
      </c>
      <c r="P32" s="92">
        <v>26</v>
      </c>
      <c r="Q32" s="92">
        <v>36.400000000000006</v>
      </c>
      <c r="R32" s="92">
        <v>15.699999999999989</v>
      </c>
      <c r="S32" s="95"/>
      <c r="T32" s="6">
        <f>(+($D32*J32*0.01)+($E32*O32*0.01)+(($F32+$G32+$H32)*'Pop Data'!Z32))</f>
        <v>2788.3116064619412</v>
      </c>
      <c r="U32" s="6">
        <f>(+($D32*K32*0.01)+($E32*P32*0.01)+(($F32+$G32+$H32)*'Pop Data'!AA32))</f>
        <v>2343.5826528889538</v>
      </c>
      <c r="V32" s="6">
        <f>(+($D32*L32*0.01)+($E32*Q32*0.01)+(($F32+$G32+$H32)*'Pop Data'!AB32))</f>
        <v>4085.3334763498765</v>
      </c>
      <c r="W32" s="6">
        <f>(+($D32*M32*0.01)+($E32*R32*0.01)+(($F32+$G32+$H32)*'Pop Data'!AC32))</f>
        <v>5513.7722642992276</v>
      </c>
    </row>
    <row r="33" spans="1:23" x14ac:dyDescent="0.2">
      <c r="A33" s="17" t="s">
        <v>10</v>
      </c>
      <c r="B33" s="4">
        <v>145328</v>
      </c>
      <c r="D33" s="4">
        <v>84541</v>
      </c>
      <c r="E33" s="4">
        <v>57170</v>
      </c>
      <c r="F33" s="4">
        <v>3285</v>
      </c>
      <c r="G33" s="4">
        <v>0</v>
      </c>
      <c r="H33" s="4">
        <v>332</v>
      </c>
      <c r="J33" s="92">
        <v>29.3</v>
      </c>
      <c r="K33" s="92">
        <v>14.6</v>
      </c>
      <c r="L33" s="92">
        <v>29.3</v>
      </c>
      <c r="M33" s="92">
        <v>26.8</v>
      </c>
      <c r="N33" s="95"/>
      <c r="O33" s="92">
        <v>32.5</v>
      </c>
      <c r="P33" s="92">
        <v>21.7</v>
      </c>
      <c r="Q33" s="92">
        <v>33.6</v>
      </c>
      <c r="R33" s="92">
        <v>12.199999999999996</v>
      </c>
      <c r="S33" s="95"/>
      <c r="T33" s="6">
        <f>(+($D33*J33*0.01)+($E33*O33*0.01)+(($F33+$G33+$H33)*'Pop Data'!Z33))</f>
        <v>43908.360866939343</v>
      </c>
      <c r="U33" s="6">
        <f>(+($D33*K33*0.01)+($E33*P33*0.01)+(($F33+$G33+$H33)*'Pop Data'!AA33))</f>
        <v>25133.106746492271</v>
      </c>
      <c r="V33" s="6">
        <f>(+($D33*L33*0.01)+($E33*Q33*0.01)+(($F33+$G33+$H33)*'Pop Data'!AB33))</f>
        <v>45385.968831708109</v>
      </c>
      <c r="W33" s="6">
        <f>(+($D33*M33*0.01)+($E33*R33*0.01)+(($F33+$G33+$H33)*'Pop Data'!AC33))</f>
        <v>30900.563554860288</v>
      </c>
    </row>
    <row r="34" spans="1:23" x14ac:dyDescent="0.2">
      <c r="A34" s="17" t="s">
        <v>11</v>
      </c>
      <c r="B34" s="4">
        <v>46615</v>
      </c>
      <c r="D34" s="4">
        <v>28669</v>
      </c>
      <c r="E34" s="4">
        <v>17091</v>
      </c>
      <c r="F34" s="4">
        <v>855</v>
      </c>
      <c r="G34" s="4">
        <v>0</v>
      </c>
      <c r="H34" s="4">
        <v>0</v>
      </c>
      <c r="J34" s="92">
        <v>22</v>
      </c>
      <c r="K34" s="92">
        <v>15.1</v>
      </c>
      <c r="L34" s="92">
        <v>41.199999999999996</v>
      </c>
      <c r="M34" s="92">
        <v>21.700000000000003</v>
      </c>
      <c r="N34" s="95"/>
      <c r="O34" s="92">
        <v>20.7</v>
      </c>
      <c r="P34" s="92">
        <v>20.100000000000001</v>
      </c>
      <c r="Q34" s="92">
        <v>42.300000000000004</v>
      </c>
      <c r="R34" s="92">
        <v>16.899999999999991</v>
      </c>
      <c r="S34" s="95"/>
      <c r="T34" s="6">
        <f>(+($D34*J34*0.01)+($E34*O34*0.01)+(($F34+$G34+$H34)*'Pop Data'!Z34))</f>
        <v>9987.300386659721</v>
      </c>
      <c r="U34" s="6">
        <f>(+($D34*K34*0.01)+($E34*P34*0.01)+(($F34+$G34+$H34)*'Pop Data'!AA34))</f>
        <v>7860.5827187904561</v>
      </c>
      <c r="V34" s="6">
        <f>(+($D34*L34*0.01)+($E34*Q34*0.01)+(($F34+$G34+$H34)*'Pop Data'!AB34))</f>
        <v>19375.529339521268</v>
      </c>
      <c r="W34" s="6">
        <f>(+($D34*M34*0.01)+($E34*R34*0.01)+(($F34+$G34+$H34)*'Pop Data'!AC34))</f>
        <v>9391.5875550285546</v>
      </c>
    </row>
    <row r="35" spans="1:23" x14ac:dyDescent="0.2">
      <c r="A35" s="17" t="s">
        <v>12</v>
      </c>
      <c r="B35" s="4">
        <v>548756</v>
      </c>
      <c r="D35" s="4">
        <v>367230</v>
      </c>
      <c r="E35" s="4">
        <v>166805</v>
      </c>
      <c r="F35" s="4">
        <v>14547</v>
      </c>
      <c r="G35" s="4">
        <v>0</v>
      </c>
      <c r="H35" s="4">
        <v>174</v>
      </c>
      <c r="J35" s="92">
        <v>15.7</v>
      </c>
      <c r="K35" s="92">
        <v>11.2</v>
      </c>
      <c r="L35" s="92">
        <v>26.9</v>
      </c>
      <c r="M35" s="92">
        <v>46.199999999999996</v>
      </c>
      <c r="N35" s="95"/>
      <c r="O35" s="92">
        <v>13.9</v>
      </c>
      <c r="P35" s="92">
        <v>20.100000000000001</v>
      </c>
      <c r="Q35" s="92">
        <v>44.199999999999996</v>
      </c>
      <c r="R35" s="92">
        <v>21.800000000000004</v>
      </c>
      <c r="S35" s="95"/>
      <c r="T35" s="6">
        <f>(+($D35*J35*0.01)+($E35*O35*0.01)+(($F35+$G35+$H35)*'Pop Data'!Z35))</f>
        <v>83294.63046180598</v>
      </c>
      <c r="U35" s="6">
        <f>(+($D35*K35*0.01)+($E35*P35*0.01)+(($F35+$G35+$H35)*'Pop Data'!AA35))</f>
        <v>76234.319483417683</v>
      </c>
      <c r="V35" s="6">
        <f>(+($D35*L35*0.01)+($E35*Q35*0.01)+(($F35+$G35+$H35)*'Pop Data'!AB35))</f>
        <v>178109.43447849175</v>
      </c>
      <c r="W35" s="6">
        <f>(+($D35*M35*0.01)+($E35*R35*0.01)+(($F35+$G35+$H35)*'Pop Data'!AC35))</f>
        <v>211117.61557628462</v>
      </c>
    </row>
    <row r="36" spans="1:23" x14ac:dyDescent="0.2">
      <c r="A36" s="17" t="s">
        <v>13</v>
      </c>
      <c r="B36" s="4">
        <v>124081</v>
      </c>
      <c r="D36" s="4">
        <v>73476</v>
      </c>
      <c r="E36" s="4">
        <v>47655</v>
      </c>
      <c r="F36" s="4">
        <v>2950</v>
      </c>
      <c r="G36" s="4">
        <v>0</v>
      </c>
      <c r="H36" s="4">
        <v>0</v>
      </c>
      <c r="J36" s="92">
        <v>21.5</v>
      </c>
      <c r="K36" s="92">
        <v>13.8</v>
      </c>
      <c r="L36" s="92">
        <v>30.700000000000003</v>
      </c>
      <c r="M36" s="92">
        <v>34</v>
      </c>
      <c r="N36" s="95"/>
      <c r="O36" s="92">
        <v>23.9</v>
      </c>
      <c r="P36" s="92">
        <v>19.3</v>
      </c>
      <c r="Q36" s="92">
        <v>40.1</v>
      </c>
      <c r="R36" s="92">
        <v>16.699999999999996</v>
      </c>
      <c r="S36" s="95"/>
      <c r="T36" s="6">
        <f>(+($D36*J36*0.01)+($E36*O36*0.01)+(($F36+$G36+$H36)*'Pop Data'!Z36))</f>
        <v>27658.063835334622</v>
      </c>
      <c r="U36" s="6">
        <f>(+($D36*K36*0.01)+($E36*P36*0.01)+(($F36+$G36+$H36)*'Pop Data'!AA36))</f>
        <v>19665.749489349793</v>
      </c>
      <c r="V36" s="6">
        <f>(+($D36*L36*0.01)+($E36*Q36*0.01)+(($F36+$G36+$H36)*'Pop Data'!AB36))</f>
        <v>42831.309914217534</v>
      </c>
      <c r="W36" s="6">
        <f>(+($D36*M36*0.01)+($E36*R36*0.01)+(($F36+$G36+$H36)*'Pop Data'!AC36))</f>
        <v>33925.87676109805</v>
      </c>
    </row>
    <row r="37" spans="1:23" x14ac:dyDescent="0.2">
      <c r="A37" s="17" t="s">
        <v>14</v>
      </c>
      <c r="B37" s="4">
        <v>16128</v>
      </c>
      <c r="D37" s="4">
        <v>10607</v>
      </c>
      <c r="E37" s="4">
        <v>5151</v>
      </c>
      <c r="F37" s="4">
        <v>74</v>
      </c>
      <c r="G37" s="4">
        <v>0</v>
      </c>
      <c r="H37" s="4">
        <v>296</v>
      </c>
      <c r="J37" s="92">
        <v>15.7</v>
      </c>
      <c r="K37" s="92">
        <v>11</v>
      </c>
      <c r="L37" s="92">
        <v>28</v>
      </c>
      <c r="M37" s="92">
        <v>45.3</v>
      </c>
      <c r="N37" s="95"/>
      <c r="O37" s="92">
        <v>41.4</v>
      </c>
      <c r="P37" s="92">
        <v>19.399999999999999</v>
      </c>
      <c r="Q37" s="92">
        <v>27.2</v>
      </c>
      <c r="R37" s="92">
        <v>12.000000000000004</v>
      </c>
      <c r="S37" s="95"/>
      <c r="T37" s="6">
        <f>(+($D37*J37*0.01)+($E37*O37*0.01)+(($F37+$G37+$H37)*'Pop Data'!Z37))</f>
        <v>3863.6940022767258</v>
      </c>
      <c r="U37" s="6">
        <f>(+($D37*K37*0.01)+($E37*P37*0.01)+(($F37+$G37+$H37)*'Pop Data'!AA37))</f>
        <v>2210.5287107523541</v>
      </c>
      <c r="V37" s="6">
        <f>(+($D37*L37*0.01)+($E37*Q37*0.01)+(($F37+$G37+$H37)*'Pop Data'!AB37))</f>
        <v>4512.9026664596913</v>
      </c>
      <c r="W37" s="6">
        <f>(+($D37*M37*0.01)+($E37*R37*0.01)+(($F37+$G37+$H37)*'Pop Data'!AC37))</f>
        <v>5540.8746205112275</v>
      </c>
    </row>
    <row r="38" spans="1:23" x14ac:dyDescent="0.2">
      <c r="A38" s="17" t="s">
        <v>15</v>
      </c>
      <c r="B38" s="4">
        <v>386564</v>
      </c>
      <c r="D38" s="4">
        <v>149703</v>
      </c>
      <c r="E38" s="4">
        <v>176141</v>
      </c>
      <c r="F38" s="4">
        <v>7420</v>
      </c>
      <c r="G38" s="4">
        <v>53300</v>
      </c>
      <c r="H38" s="4">
        <v>0</v>
      </c>
      <c r="J38" s="92">
        <v>23.200000000000003</v>
      </c>
      <c r="K38" s="92">
        <v>12.2</v>
      </c>
      <c r="L38" s="92">
        <v>26.299999999999997</v>
      </c>
      <c r="M38" s="92">
        <v>38.299999999999997</v>
      </c>
      <c r="N38" s="95"/>
      <c r="O38" s="92">
        <v>31.6</v>
      </c>
      <c r="P38" s="92">
        <v>19.799999999999997</v>
      </c>
      <c r="Q38" s="92">
        <v>33.799999999999997</v>
      </c>
      <c r="R38" s="92">
        <v>14.800000000000011</v>
      </c>
      <c r="S38" s="95"/>
      <c r="T38" s="6">
        <f>(+($D38*J38*0.01)+($E38*O38*0.01)+(($F38+$G38+$H38)*'Pop Data'!Z38))</f>
        <v>99724.003841854515</v>
      </c>
      <c r="U38" s="6">
        <f>(+($D38*K38*0.01)+($E38*P38*0.01)+(($F38+$G38+$H38)*'Pop Data'!AA38))</f>
        <v>59647.298460328093</v>
      </c>
      <c r="V38" s="6">
        <f>(+($D38*L38*0.01)+($E38*Q38*0.01)+(($F38+$G38+$H38)*'Pop Data'!AB38))</f>
        <v>122574.23972591164</v>
      </c>
      <c r="W38" s="6">
        <f>(+($D38*M38*0.01)+($E38*R38*0.01)+(($F38+$G38+$H38)*'Pop Data'!AC38))</f>
        <v>104618.45797190574</v>
      </c>
    </row>
    <row r="39" spans="1:23" x14ac:dyDescent="0.2">
      <c r="A39" s="17" t="s">
        <v>16</v>
      </c>
      <c r="B39" s="4">
        <v>66722</v>
      </c>
      <c r="D39" s="4">
        <v>33241</v>
      </c>
      <c r="E39" s="4">
        <v>30134</v>
      </c>
      <c r="F39" s="4">
        <v>3347</v>
      </c>
      <c r="G39" s="4">
        <v>0</v>
      </c>
      <c r="H39" s="4">
        <v>0</v>
      </c>
      <c r="J39" s="92">
        <v>25.5</v>
      </c>
      <c r="K39" s="92">
        <v>16</v>
      </c>
      <c r="L39" s="92">
        <v>37.300000000000004</v>
      </c>
      <c r="M39" s="92">
        <v>21.199999999999996</v>
      </c>
      <c r="N39" s="95"/>
      <c r="O39" s="92">
        <v>28.599999999999998</v>
      </c>
      <c r="P39" s="92">
        <v>19.2</v>
      </c>
      <c r="Q39" s="92">
        <v>40.699999999999996</v>
      </c>
      <c r="R39" s="92">
        <v>11.500000000000007</v>
      </c>
      <c r="S39" s="95"/>
      <c r="T39" s="6">
        <f>(+($D39*J39*0.01)+($E39*O39*0.01)+(($F39+$G39+$H39)*'Pop Data'!Z39))</f>
        <v>17647.270038157043</v>
      </c>
      <c r="U39" s="6">
        <f>(+($D39*K39*0.01)+($E39*P39*0.01)+(($F39+$G39+$H39)*'Pop Data'!AA39))</f>
        <v>11487.158637095768</v>
      </c>
      <c r="V39" s="6">
        <f>(+($D39*L39*0.01)+($E39*Q39*0.01)+(($F39+$G39+$H39)*'Pop Data'!AB39))</f>
        <v>25979.010315590647</v>
      </c>
      <c r="W39" s="6">
        <f>(+($D39*M39*0.01)+($E39*R39*0.01)+(($F39+$G39+$H39)*'Pop Data'!AC39))</f>
        <v>11608.56100915654</v>
      </c>
    </row>
    <row r="40" spans="1:23" x14ac:dyDescent="0.2">
      <c r="A40" s="17" t="s">
        <v>17</v>
      </c>
      <c r="B40" s="4">
        <v>115720</v>
      </c>
      <c r="D40" s="4">
        <v>80950</v>
      </c>
      <c r="E40" s="4">
        <v>25707</v>
      </c>
      <c r="F40" s="4">
        <v>3888</v>
      </c>
      <c r="G40" s="4">
        <v>1017</v>
      </c>
      <c r="H40" s="4">
        <v>4157</v>
      </c>
      <c r="J40" s="92">
        <v>19.7</v>
      </c>
      <c r="K40" s="92">
        <v>13.4</v>
      </c>
      <c r="L40" s="92">
        <v>32.6</v>
      </c>
      <c r="M40" s="92">
        <v>34.29999999999999</v>
      </c>
      <c r="N40" s="95"/>
      <c r="O40" s="92">
        <v>18.2</v>
      </c>
      <c r="P40" s="92">
        <v>27.4</v>
      </c>
      <c r="Q40" s="92">
        <v>43.5</v>
      </c>
      <c r="R40" s="92">
        <v>10.899999999999999</v>
      </c>
      <c r="S40" s="95"/>
      <c r="T40" s="6">
        <f>(+($D40*J40*0.01)+($E40*O40*0.01)+(($F40+$G40+$H40)*'Pop Data'!Z40))</f>
        <v>22069.080467400399</v>
      </c>
      <c r="U40" s="6">
        <f>(+($D40*K40*0.01)+($E40*P40*0.01)+(($F40+$G40+$H40)*'Pop Data'!AA40))</f>
        <v>18896.054854654296</v>
      </c>
      <c r="V40" s="6">
        <f>(+($D40*L40*0.01)+($E40*Q40*0.01)+(($F40+$G40+$H40)*'Pop Data'!AB40))</f>
        <v>41091.079626968341</v>
      </c>
      <c r="W40" s="6">
        <f>(+($D40*M40*0.01)+($E40*R40*0.01)+(($F40+$G40+$H40)*'Pop Data'!AC40))</f>
        <v>33662.785050976956</v>
      </c>
    </row>
    <row r="41" spans="1:23" x14ac:dyDescent="0.2">
      <c r="A41" s="17" t="s">
        <v>18</v>
      </c>
      <c r="B41" s="4">
        <v>301478</v>
      </c>
      <c r="D41" s="4">
        <v>191888</v>
      </c>
      <c r="E41" s="4">
        <v>92115</v>
      </c>
      <c r="F41" s="4">
        <v>7814</v>
      </c>
      <c r="G41" s="4">
        <v>0</v>
      </c>
      <c r="H41" s="4">
        <v>9662</v>
      </c>
      <c r="J41" s="92">
        <v>18.5</v>
      </c>
      <c r="K41" s="92">
        <v>10</v>
      </c>
      <c r="L41" s="92">
        <v>23.599999999999998</v>
      </c>
      <c r="M41" s="92">
        <v>47.900000000000006</v>
      </c>
      <c r="N41" s="95"/>
      <c r="O41" s="92">
        <v>30.6</v>
      </c>
      <c r="P41" s="92">
        <v>22.3</v>
      </c>
      <c r="Q41" s="92">
        <v>36.799999999999997</v>
      </c>
      <c r="R41" s="92">
        <v>10.300000000000011</v>
      </c>
      <c r="S41" s="95"/>
      <c r="T41" s="6">
        <f>(+($D41*J41*0.01)+($E41*O41*0.01)+(($F41+$G41+$H41)*'Pop Data'!Z41))</f>
        <v>66418.370507632004</v>
      </c>
      <c r="U41" s="6">
        <f>(+($D41*K41*0.01)+($E41*P41*0.01)+(($F41+$G41+$H41)*'Pop Data'!AA41))</f>
        <v>41589.91264128896</v>
      </c>
      <c r="V41" s="6">
        <f>(+($D41*L41*0.01)+($E41*Q41*0.01)+(($F41+$G41+$H41)*'Pop Data'!AB41))</f>
        <v>85907.518947956938</v>
      </c>
      <c r="W41" s="6">
        <f>(+($D41*M41*0.01)+($E41*R41*0.01)+(($F41+$G41+$H41)*'Pop Data'!AC41))</f>
        <v>107563.19790312211</v>
      </c>
    </row>
    <row r="42" spans="1:23" x14ac:dyDescent="0.2">
      <c r="A42" s="17" t="s">
        <v>19</v>
      </c>
      <c r="B42" s="4">
        <v>19244</v>
      </c>
      <c r="D42" s="4">
        <v>12308</v>
      </c>
      <c r="E42" s="4">
        <v>6021</v>
      </c>
      <c r="F42" s="4">
        <v>776</v>
      </c>
      <c r="G42" s="4">
        <v>0</v>
      </c>
      <c r="H42" s="4">
        <v>139</v>
      </c>
      <c r="J42" s="92">
        <v>20.400000000000002</v>
      </c>
      <c r="K42" s="92">
        <v>8.9</v>
      </c>
      <c r="L42" s="92">
        <v>21.400000000000002</v>
      </c>
      <c r="M42" s="92">
        <v>49.299999999999983</v>
      </c>
      <c r="N42" s="95"/>
      <c r="O42" s="92">
        <v>39.799999999999997</v>
      </c>
      <c r="P42" s="92">
        <v>13.600000000000001</v>
      </c>
      <c r="Q42" s="92">
        <v>32.400000000000006</v>
      </c>
      <c r="R42" s="92">
        <v>14.199999999999996</v>
      </c>
      <c r="S42" s="95"/>
      <c r="T42" s="6">
        <f>(+($D42*J42*0.01)+($E42*O42*0.01)+(($F42+$G42+$H42)*'Pop Data'!Z42))</f>
        <v>5044.6466922586551</v>
      </c>
      <c r="U42" s="6">
        <f>(+($D42*K42*0.01)+($E42*P42*0.01)+(($F42+$G42+$H42)*'Pop Data'!AA42))</f>
        <v>2009.5746881011114</v>
      </c>
      <c r="V42" s="6">
        <f>(+($D42*L42*0.01)+($E42*Q42*0.01)+(($F42+$G42+$H42)*'Pop Data'!AB42))</f>
        <v>4938.8952316860232</v>
      </c>
      <c r="W42" s="6">
        <f>(+($D42*M42*0.01)+($E42*R42*0.01)+(($F42+$G42+$H42)*'Pop Data'!AC42))</f>
        <v>7250.8833879542099</v>
      </c>
    </row>
    <row r="43" spans="1:23" x14ac:dyDescent="0.2">
      <c r="A43" s="17" t="s">
        <v>20</v>
      </c>
      <c r="B43" s="4">
        <v>42218</v>
      </c>
      <c r="D43" s="4">
        <v>26285</v>
      </c>
      <c r="E43" s="4">
        <v>14099</v>
      </c>
      <c r="F43" s="4">
        <v>1834</v>
      </c>
      <c r="G43" s="4">
        <v>0</v>
      </c>
      <c r="H43" s="4">
        <v>0</v>
      </c>
      <c r="J43" s="92">
        <v>18.5</v>
      </c>
      <c r="K43" s="92">
        <v>11</v>
      </c>
      <c r="L43" s="92">
        <v>30.8</v>
      </c>
      <c r="M43" s="92">
        <v>39.700000000000003</v>
      </c>
      <c r="N43" s="95"/>
      <c r="O43" s="92">
        <v>25.6</v>
      </c>
      <c r="P43" s="92">
        <v>21.299999999999997</v>
      </c>
      <c r="Q43" s="92">
        <v>39.9</v>
      </c>
      <c r="R43" s="92">
        <v>13.20000000000001</v>
      </c>
      <c r="S43" s="95"/>
      <c r="T43" s="6">
        <f>(+($D43*J43*0.01)+($E43*O43*0.01)+(($F43+$G43+$H43)*'Pop Data'!Z43))</f>
        <v>8768.041746715553</v>
      </c>
      <c r="U43" s="6">
        <f>(+($D43*K43*0.01)+($E43*P43*0.01)+(($F43+$G43+$H43)*'Pop Data'!AA43))</f>
        <v>6101.7551216380116</v>
      </c>
      <c r="V43" s="6">
        <f>(+($D43*L43*0.01)+($E43*Q43*0.01)+(($F43+$G43+$H43)*'Pop Data'!AB43))</f>
        <v>14438.895965419548</v>
      </c>
      <c r="W43" s="6">
        <f>(+($D43*M43*0.01)+($E43*R43*0.01)+(($F43+$G43+$H43)*'Pop Data'!AC43))</f>
        <v>12909.307166226892</v>
      </c>
    </row>
    <row r="44" spans="1:23" x14ac:dyDescent="0.2">
      <c r="A44" s="17" t="s">
        <v>21</v>
      </c>
      <c r="B44" s="4">
        <v>9532</v>
      </c>
      <c r="D44" s="4">
        <v>5178</v>
      </c>
      <c r="E44" s="4">
        <v>3666</v>
      </c>
      <c r="F44" s="4">
        <v>689</v>
      </c>
      <c r="G44" s="4">
        <v>0</v>
      </c>
      <c r="H44" s="4">
        <v>0</v>
      </c>
      <c r="J44" s="92">
        <v>18.899999999999999</v>
      </c>
      <c r="K44" s="92">
        <v>14.7</v>
      </c>
      <c r="L44" s="92">
        <v>36.299999999999997</v>
      </c>
      <c r="M44" s="92">
        <v>30.099999999999994</v>
      </c>
      <c r="N44" s="95"/>
      <c r="O44" s="92">
        <v>19.099999999999998</v>
      </c>
      <c r="P44" s="92">
        <v>24.6</v>
      </c>
      <c r="Q44" s="92">
        <v>48.399999999999991</v>
      </c>
      <c r="R44" s="92">
        <v>7.9000000000000128</v>
      </c>
      <c r="S44" s="95"/>
      <c r="T44" s="6">
        <f>(+($D44*J44*0.01)+($E44*O44*0.01)+(($F44+$G44+$H44)*'Pop Data'!Z44))</f>
        <v>1797.3523958681287</v>
      </c>
      <c r="U44" s="6">
        <f>(+($D44*K44*0.01)+($E44*P44*0.01)+(($F44+$G44+$H44)*'Pop Data'!AA44))</f>
        <v>1744.2839477981477</v>
      </c>
      <c r="V44" s="6">
        <f>(+($D44*L44*0.01)+($E44*Q44*0.01)+(($F44+$G44+$H44)*'Pop Data'!AB44))</f>
        <v>3922.097986971577</v>
      </c>
      <c r="W44" s="6">
        <f>(+($D44*M44*0.01)+($E44*R44*0.01)+(($F44+$G44+$H44)*'Pop Data'!AC44))</f>
        <v>2069.2656693621461</v>
      </c>
    </row>
    <row r="45" spans="1:23" x14ac:dyDescent="0.2">
      <c r="A45" s="17" t="s">
        <v>22</v>
      </c>
      <c r="B45" s="4">
        <v>75227</v>
      </c>
      <c r="D45" s="4">
        <v>36964</v>
      </c>
      <c r="E45" s="4">
        <v>34649</v>
      </c>
      <c r="F45" s="4">
        <v>1858</v>
      </c>
      <c r="G45" s="4">
        <v>0</v>
      </c>
      <c r="H45" s="4">
        <v>1757</v>
      </c>
      <c r="J45" s="92">
        <v>18.600000000000001</v>
      </c>
      <c r="K45" s="92">
        <v>10.3</v>
      </c>
      <c r="L45" s="92">
        <v>26.700000000000006</v>
      </c>
      <c r="M45" s="92">
        <v>44.400000000000006</v>
      </c>
      <c r="N45" s="95"/>
      <c r="O45" s="92">
        <v>30.2</v>
      </c>
      <c r="P45" s="92">
        <v>15.7</v>
      </c>
      <c r="Q45" s="92">
        <v>32.4</v>
      </c>
      <c r="R45" s="92">
        <v>21.699999999999996</v>
      </c>
      <c r="S45" s="95"/>
      <c r="T45" s="6">
        <f>(+($D45*J45*0.01)+($E45*O45*0.01)+(($F45+$G45+$H45)*'Pop Data'!Z45))</f>
        <v>17917.695805688829</v>
      </c>
      <c r="U45" s="6">
        <f>(+($D45*K45*0.01)+($E45*P45*0.01)+(($F45+$G45+$H45)*'Pop Data'!AA45))</f>
        <v>9646.2728544808087</v>
      </c>
      <c r="V45" s="6">
        <f>(+($D45*L45*0.01)+($E45*Q45*0.01)+(($F45+$G45+$H45)*'Pop Data'!AB45))</f>
        <v>22504.741550039624</v>
      </c>
      <c r="W45" s="6">
        <f>(+($D45*M45*0.01)+($E45*R45*0.01)+(($F45+$G45+$H45)*'Pop Data'!AC45))</f>
        <v>25159.289789790739</v>
      </c>
    </row>
    <row r="46" spans="1:23" x14ac:dyDescent="0.2">
      <c r="A46" s="17" t="s">
        <v>23</v>
      </c>
      <c r="B46" s="4">
        <v>325026</v>
      </c>
      <c r="D46" s="4">
        <v>217102</v>
      </c>
      <c r="E46" s="4">
        <v>95015</v>
      </c>
      <c r="F46" s="4">
        <v>11902</v>
      </c>
      <c r="G46" s="4">
        <v>0</v>
      </c>
      <c r="H46" s="4">
        <v>1007</v>
      </c>
      <c r="J46" s="92">
        <v>24.7</v>
      </c>
      <c r="K46" s="92">
        <v>14.600000000000001</v>
      </c>
      <c r="L46" s="92">
        <v>34.299999999999997</v>
      </c>
      <c r="M46" s="92">
        <v>26.4</v>
      </c>
      <c r="N46" s="95"/>
      <c r="O46" s="92">
        <v>29.800000000000004</v>
      </c>
      <c r="P46" s="92">
        <v>20.9</v>
      </c>
      <c r="Q46" s="92">
        <v>37.6</v>
      </c>
      <c r="R46" s="92">
        <v>11.699999999999989</v>
      </c>
      <c r="S46" s="95"/>
      <c r="T46" s="6">
        <f>(+($D46*J46*0.01)+($E46*O46*0.01)+(($F46+$G46+$H46)*'Pop Data'!Z46))</f>
        <v>84076.73105957752</v>
      </c>
      <c r="U46" s="6">
        <f>(+($D46*K46*0.01)+($E46*P46*0.01)+(($F46+$G46+$H46)*'Pop Data'!AA46))</f>
        <v>53005.361388736666</v>
      </c>
      <c r="V46" s="6">
        <f>(+($D46*L46*0.01)+($E46*Q46*0.01)+(($F46+$G46+$H46)*'Pop Data'!AB46))</f>
        <v>115282.90229727217</v>
      </c>
      <c r="W46" s="6">
        <f>(+($D46*M46*0.01)+($E46*R46*0.01)+(($F46+$G46+$H46)*'Pop Data'!AC46))</f>
        <v>72661.005254413656</v>
      </c>
    </row>
    <row r="47" spans="1:23" x14ac:dyDescent="0.2">
      <c r="A47" s="17" t="s">
        <v>24</v>
      </c>
      <c r="B47" s="4">
        <v>28153</v>
      </c>
      <c r="D47" s="4">
        <v>19675</v>
      </c>
      <c r="E47" s="4">
        <v>7316</v>
      </c>
      <c r="F47" s="4">
        <v>1161</v>
      </c>
      <c r="G47" s="4">
        <v>0</v>
      </c>
      <c r="H47" s="4">
        <v>0</v>
      </c>
      <c r="J47" s="92">
        <v>13.999999999999998</v>
      </c>
      <c r="K47" s="92">
        <v>9.8000000000000007</v>
      </c>
      <c r="L47" s="92">
        <v>25.300000000000004</v>
      </c>
      <c r="M47" s="92">
        <v>50.9</v>
      </c>
      <c r="N47" s="95"/>
      <c r="O47" s="92">
        <v>31.900000000000002</v>
      </c>
      <c r="P47" s="92">
        <v>21.4</v>
      </c>
      <c r="Q47" s="92">
        <v>35.6</v>
      </c>
      <c r="R47" s="92">
        <v>11.099999999999994</v>
      </c>
      <c r="S47" s="95"/>
      <c r="T47" s="6">
        <f>(+($D47*J47*0.01)+($E47*O47*0.01)+(($F47+$G47+$H47)*'Pop Data'!Z47))</f>
        <v>5287.382554278739</v>
      </c>
      <c r="U47" s="6">
        <f>(+($D47*K47*0.01)+($E47*P47*0.01)+(($F47+$G47+$H47)*'Pop Data'!AA47))</f>
        <v>3631.8249137675516</v>
      </c>
      <c r="V47" s="6">
        <f>(+($D47*L47*0.01)+($E47*Q47*0.01)+(($F47+$G47+$H47)*'Pop Data'!AB47))</f>
        <v>8046.536591707847</v>
      </c>
      <c r="W47" s="6">
        <f>(+($D47*M47*0.01)+($E47*R47*0.01)+(($F47+$G47+$H47)*'Pop Data'!AC47))</f>
        <v>11186.255940245863</v>
      </c>
    </row>
    <row r="48" spans="1:23" x14ac:dyDescent="0.2">
      <c r="A48" s="17" t="s">
        <v>25</v>
      </c>
      <c r="B48" s="4">
        <v>16960</v>
      </c>
      <c r="D48" s="4">
        <v>8825</v>
      </c>
      <c r="E48" s="4">
        <v>7985</v>
      </c>
      <c r="F48" s="4">
        <v>144</v>
      </c>
      <c r="G48" s="4">
        <v>0</v>
      </c>
      <c r="H48" s="4">
        <v>7</v>
      </c>
      <c r="J48" s="92">
        <v>14.9</v>
      </c>
      <c r="K48" s="92">
        <v>8.5</v>
      </c>
      <c r="L48" s="92">
        <v>22.8</v>
      </c>
      <c r="M48" s="92">
        <v>53.8</v>
      </c>
      <c r="N48" s="95"/>
      <c r="O48" s="92">
        <v>30.7</v>
      </c>
      <c r="P48" s="92">
        <v>18.100000000000001</v>
      </c>
      <c r="Q48" s="92">
        <v>33.699999999999996</v>
      </c>
      <c r="R48" s="92">
        <v>17.5</v>
      </c>
      <c r="S48" s="95"/>
      <c r="T48" s="6">
        <f>(+($D48*J48*0.01)+($E48*O48*0.01)+(($F48+$G48+$H48)*'Pop Data'!Z48))</f>
        <v>3788.1079242603928</v>
      </c>
      <c r="U48" s="6">
        <f>(+($D48*K48*0.01)+($E48*P48*0.01)+(($F48+$G48+$H48)*'Pop Data'!AA48))</f>
        <v>2210.8034700002418</v>
      </c>
      <c r="V48" s="6">
        <f>(+($D48*L48*0.01)+($E48*Q48*0.01)+(($F48+$G48+$H48)*'Pop Data'!AB48))</f>
        <v>4761.2431831530193</v>
      </c>
      <c r="W48" s="6">
        <f>(+($D48*M48*0.01)+($E48*R48*0.01)+(($F48+$G48+$H48)*'Pop Data'!AC48))</f>
        <v>6200.8454225863452</v>
      </c>
    </row>
    <row r="49" spans="1:23" x14ac:dyDescent="0.2">
      <c r="A49" s="17" t="s">
        <v>26</v>
      </c>
      <c r="B49" s="4">
        <v>89726</v>
      </c>
      <c r="D49" s="4">
        <v>54114</v>
      </c>
      <c r="E49" s="4">
        <v>32998</v>
      </c>
      <c r="F49" s="4">
        <v>2614</v>
      </c>
      <c r="G49" s="4">
        <v>0</v>
      </c>
      <c r="H49" s="4">
        <v>0</v>
      </c>
      <c r="J49" s="92">
        <v>15.2</v>
      </c>
      <c r="K49" s="92">
        <v>9.8000000000000007</v>
      </c>
      <c r="L49" s="92">
        <v>28.1</v>
      </c>
      <c r="M49" s="92">
        <v>46.9</v>
      </c>
      <c r="N49" s="95"/>
      <c r="O49" s="92">
        <v>20.3</v>
      </c>
      <c r="P49" s="92">
        <v>17.100000000000001</v>
      </c>
      <c r="Q49" s="92">
        <v>38.299999999999997</v>
      </c>
      <c r="R49" s="92">
        <v>24.300000000000004</v>
      </c>
      <c r="S49" s="95"/>
      <c r="T49" s="6">
        <f>(+($D49*J49*0.01)+($E49*O49*0.01)+(($F49+$G49+$H49)*'Pop Data'!Z49))</f>
        <v>15352.415455992958</v>
      </c>
      <c r="U49" s="6">
        <f>(+($D49*K49*0.01)+($E49*P49*0.01)+(($F49+$G49+$H49)*'Pop Data'!AA49))</f>
        <v>11234.777747580838</v>
      </c>
      <c r="V49" s="6">
        <f>(+($D49*L49*0.01)+($E49*Q49*0.01)+(($F49+$G49+$H49)*'Pop Data'!AB49))</f>
        <v>28864.691769225261</v>
      </c>
      <c r="W49" s="6">
        <f>(+($D49*M49*0.01)+($E49*R49*0.01)+(($F49+$G49+$H49)*'Pop Data'!AC49))</f>
        <v>34274.115027200947</v>
      </c>
    </row>
    <row r="50" spans="1:23" x14ac:dyDescent="0.2">
      <c r="A50" s="17" t="s">
        <v>27</v>
      </c>
      <c r="B50" s="4">
        <v>130013</v>
      </c>
      <c r="D50" s="4">
        <v>77103</v>
      </c>
      <c r="E50" s="4">
        <v>49564</v>
      </c>
      <c r="F50" s="4">
        <v>3347</v>
      </c>
      <c r="G50" s="4">
        <v>0</v>
      </c>
      <c r="H50" s="4">
        <v>0</v>
      </c>
      <c r="J50" s="92">
        <v>26.700000000000003</v>
      </c>
      <c r="K50" s="92">
        <v>15.100000000000001</v>
      </c>
      <c r="L50" s="92">
        <v>31.4</v>
      </c>
      <c r="M50" s="92">
        <v>26.799999999999997</v>
      </c>
      <c r="N50" s="95"/>
      <c r="O50" s="92">
        <v>34.4</v>
      </c>
      <c r="P50" s="92">
        <v>24.1</v>
      </c>
      <c r="Q50" s="92">
        <v>31.000000000000004</v>
      </c>
      <c r="R50" s="92">
        <v>10.499999999999989</v>
      </c>
      <c r="S50" s="95"/>
      <c r="T50" s="6">
        <f>(+($D50*J50*0.01)+($E50*O50*0.01)+(($F50+$G50+$H50)*'Pop Data'!Z50))</f>
        <v>38194.214831563695</v>
      </c>
      <c r="U50" s="6">
        <f>(+($D50*K50*0.01)+($E50*P50*0.01)+(($F50+$G50+$H50)*'Pop Data'!AA50))</f>
        <v>23965.600847373476</v>
      </c>
      <c r="V50" s="6">
        <f>(+($D50*L50*0.01)+($E50*Q50*0.01)+(($F50+$G50+$H50)*'Pop Data'!AB50))</f>
        <v>40866.314659544332</v>
      </c>
      <c r="W50" s="6">
        <f>(+($D50*M50*0.01)+($E50*R50*0.01)+(($F50+$G50+$H50)*'Pop Data'!AC50))</f>
        <v>26987.869661518493</v>
      </c>
    </row>
    <row r="51" spans="1:23" x14ac:dyDescent="0.2">
      <c r="A51" s="17" t="s">
        <v>28</v>
      </c>
      <c r="B51" s="4">
        <v>39099</v>
      </c>
      <c r="D51" s="4">
        <v>18278</v>
      </c>
      <c r="E51" s="4">
        <v>19922</v>
      </c>
      <c r="F51" s="4">
        <v>899</v>
      </c>
      <c r="G51" s="4">
        <v>0</v>
      </c>
      <c r="H51" s="4">
        <v>0</v>
      </c>
      <c r="J51" s="92">
        <v>19.3</v>
      </c>
      <c r="K51" s="92">
        <v>11.4</v>
      </c>
      <c r="L51" s="92">
        <v>28.5</v>
      </c>
      <c r="M51" s="92">
        <v>40.799999999999997</v>
      </c>
      <c r="N51" s="95"/>
      <c r="O51" s="92">
        <v>25.6</v>
      </c>
      <c r="P51" s="92">
        <v>20.100000000000001</v>
      </c>
      <c r="Q51" s="92">
        <v>41.4</v>
      </c>
      <c r="R51" s="92">
        <v>12.900000000000006</v>
      </c>
      <c r="S51" s="95"/>
      <c r="T51" s="6">
        <f>(+($D51*J51*0.01)+($E51*O51*0.01)+(($F51+$G51+$H51)*'Pop Data'!Z51))</f>
        <v>8770.7006937436381</v>
      </c>
      <c r="U51" s="6">
        <f>(+($D51*K51*0.01)+($E51*P51*0.01)+(($F51+$G51+$H51)*'Pop Data'!AA51))</f>
        <v>6186.2777869394158</v>
      </c>
      <c r="V51" s="6">
        <f>(+($D51*L51*0.01)+($E51*Q51*0.01)+(($F51+$G51+$H51)*'Pop Data'!AB51))</f>
        <v>13804.928560903652</v>
      </c>
      <c r="W51" s="6">
        <f>(+($D51*M51*0.01)+($E51*R51*0.01)+(($F51+$G51+$H51)*'Pop Data'!AC51))</f>
        <v>10337.092958413295</v>
      </c>
    </row>
    <row r="52" spans="1:23" x14ac:dyDescent="0.2">
      <c r="A52" s="17" t="s">
        <v>29</v>
      </c>
      <c r="B52" s="4">
        <v>105154</v>
      </c>
      <c r="D52" s="4">
        <v>52445</v>
      </c>
      <c r="E52" s="4">
        <v>49801</v>
      </c>
      <c r="F52" s="4">
        <v>2411</v>
      </c>
      <c r="G52" s="4">
        <v>291</v>
      </c>
      <c r="H52" s="4">
        <v>205</v>
      </c>
      <c r="J52" s="92">
        <v>18.8</v>
      </c>
      <c r="K52" s="92">
        <v>13.2</v>
      </c>
      <c r="L52" s="92">
        <v>30.900000000000002</v>
      </c>
      <c r="M52" s="92">
        <v>37.099999999999994</v>
      </c>
      <c r="N52" s="95"/>
      <c r="O52" s="92">
        <v>24.5</v>
      </c>
      <c r="P52" s="92">
        <v>23.4</v>
      </c>
      <c r="Q52" s="92">
        <v>38.300000000000004</v>
      </c>
      <c r="R52" s="92">
        <v>13.799999999999997</v>
      </c>
      <c r="S52" s="95"/>
      <c r="T52" s="6">
        <f>(+($D52*J52*0.01)+($E52*O52*0.01)+(($F52+$G52+$H52)*'Pop Data'!Z52))</f>
        <v>22519.628508736245</v>
      </c>
      <c r="U52" s="6">
        <f>(+($D52*K52*0.01)+($E52*P52*0.01)+(($F52+$G52+$H52)*'Pop Data'!AA52))</f>
        <v>18890.957039367557</v>
      </c>
      <c r="V52" s="6">
        <f>(+($D52*L52*0.01)+($E52*Q52*0.01)+(($F52+$G52+$H52)*'Pop Data'!AB52))</f>
        <v>36414.824498231195</v>
      </c>
      <c r="W52" s="6">
        <f>(+($D52*M52*0.01)+($E52*R52*0.01)+(($F52+$G52+$H52)*'Pop Data'!AC52))</f>
        <v>27327.589953664996</v>
      </c>
    </row>
    <row r="53" spans="1:23" x14ac:dyDescent="0.2">
      <c r="A53" s="17" t="s">
        <v>30</v>
      </c>
      <c r="B53" s="4">
        <v>3683</v>
      </c>
      <c r="D53" s="4">
        <v>2193</v>
      </c>
      <c r="E53" s="4">
        <v>815</v>
      </c>
      <c r="F53" s="4">
        <v>675</v>
      </c>
      <c r="G53" s="4">
        <v>0</v>
      </c>
      <c r="H53" s="4">
        <v>0</v>
      </c>
      <c r="J53" s="92">
        <v>14.799999999999999</v>
      </c>
      <c r="K53" s="92">
        <v>10.4</v>
      </c>
      <c r="L53" s="92">
        <v>28.800000000000004</v>
      </c>
      <c r="M53" s="92">
        <v>45.999999999999993</v>
      </c>
      <c r="N53" s="95"/>
      <c r="O53" s="92">
        <v>17.600000000000001</v>
      </c>
      <c r="P53" s="92">
        <v>22.5</v>
      </c>
      <c r="Q53" s="92">
        <v>47.6</v>
      </c>
      <c r="R53" s="92">
        <v>12.300000000000004</v>
      </c>
      <c r="S53" s="95"/>
      <c r="T53" s="6">
        <f>(+($D53*J53*0.01)+($E53*O53*0.01)+(($F53+$G53+$H53)*'Pop Data'!Z53))</f>
        <v>579.85302944866783</v>
      </c>
      <c r="U53" s="6">
        <f>(+($D53*K53*0.01)+($E53*P53*0.01)+(($F53+$G53+$H53)*'Pop Data'!AA53))</f>
        <v>491.86013012030412</v>
      </c>
      <c r="V53" s="6">
        <f>(+($D53*L53*0.01)+($E53*Q53*0.01)+(($F53+$G53+$H53)*'Pop Data'!AB53))</f>
        <v>1285.1648222009005</v>
      </c>
      <c r="W53" s="6">
        <f>(+($D53*M53*0.01)+($E53*R53*0.01)+(($F53+$G53+$H53)*'Pop Data'!AC53))</f>
        <v>1326.1220182301277</v>
      </c>
    </row>
    <row r="54" spans="1:23" x14ac:dyDescent="0.2">
      <c r="A54" s="17"/>
    </row>
    <row r="55" spans="1:23" x14ac:dyDescent="0.2">
      <c r="A55" s="18" t="s">
        <v>32</v>
      </c>
      <c r="B55" s="4">
        <f>SUM(B4:B53)</f>
        <v>6380136</v>
      </c>
      <c r="D55" s="4">
        <f>SUM(D4:D53)</f>
        <v>3249841</v>
      </c>
      <c r="E55" s="4">
        <f>SUM(E4:E53)</f>
        <v>2210614</v>
      </c>
      <c r="F55" s="4">
        <f>SUM(F4:F53)</f>
        <v>173370</v>
      </c>
      <c r="G55" s="4">
        <f>SUM(G4:G53)</f>
        <v>685907</v>
      </c>
      <c r="H55" s="4">
        <f>SUM(H4:H53)</f>
        <v>60406</v>
      </c>
      <c r="T55" s="4">
        <f t="shared" ref="T55:W55" si="0">SUM(T4:T53)</f>
        <v>1417729.6229206121</v>
      </c>
      <c r="U55" s="4">
        <f t="shared" si="0"/>
        <v>966392.12721768243</v>
      </c>
      <c r="V55" s="4">
        <f t="shared" si="0"/>
        <v>2122679.3394918456</v>
      </c>
      <c r="W55" s="4">
        <f t="shared" si="0"/>
        <v>1873336.9103698595</v>
      </c>
    </row>
    <row r="57" spans="1:23" x14ac:dyDescent="0.2">
      <c r="W57" s="6"/>
    </row>
  </sheetData>
  <phoneticPr fontId="8"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tabColor rgb="FF00B0F0"/>
  </sheetPr>
  <dimension ref="A1:D57"/>
  <sheetViews>
    <sheetView topLeftCell="A24" workbookViewId="0">
      <selection activeCell="I53" sqref="I53"/>
    </sheetView>
  </sheetViews>
  <sheetFormatPr baseColWidth="10" defaultColWidth="8.83203125" defaultRowHeight="15" x14ac:dyDescent="0.2"/>
  <cols>
    <col min="1" max="1" width="17.5" customWidth="1"/>
    <col min="2" max="2" width="13.83203125" customWidth="1"/>
    <col min="3" max="3" width="13.83203125" style="4" customWidth="1"/>
    <col min="4" max="4" width="14.5" style="4" customWidth="1"/>
  </cols>
  <sheetData>
    <row r="1" spans="1:4" x14ac:dyDescent="0.2">
      <c r="A1" s="1" t="s">
        <v>38</v>
      </c>
      <c r="B1" s="4"/>
    </row>
    <row r="2" spans="1:4" x14ac:dyDescent="0.2">
      <c r="A2" s="2" t="s">
        <v>104</v>
      </c>
      <c r="B2" s="4"/>
    </row>
    <row r="3" spans="1:4" x14ac:dyDescent="0.2">
      <c r="A3" s="8"/>
      <c r="B3" s="5" t="s">
        <v>245</v>
      </c>
      <c r="C3" s="5" t="s">
        <v>246</v>
      </c>
      <c r="D3" s="5" t="s">
        <v>247</v>
      </c>
    </row>
    <row r="4" spans="1:4" x14ac:dyDescent="0.2">
      <c r="A4" s="17" t="s">
        <v>109</v>
      </c>
      <c r="B4" s="4">
        <v>139084</v>
      </c>
      <c r="C4" s="4">
        <v>348</v>
      </c>
      <c r="D4" s="4">
        <f>+B4+C4</f>
        <v>139432</v>
      </c>
    </row>
    <row r="5" spans="1:4" x14ac:dyDescent="0.2">
      <c r="A5" s="17" t="s">
        <v>110</v>
      </c>
      <c r="B5" s="4">
        <v>105103</v>
      </c>
      <c r="C5" s="4">
        <v>0</v>
      </c>
      <c r="D5" s="4">
        <f t="shared" ref="D5:D53" si="0">+B5+C5</f>
        <v>105103</v>
      </c>
    </row>
    <row r="6" spans="1:4" x14ac:dyDescent="0.2">
      <c r="A6" s="17" t="s">
        <v>111</v>
      </c>
      <c r="B6" s="4">
        <v>175745</v>
      </c>
      <c r="C6" s="4">
        <v>0</v>
      </c>
      <c r="D6" s="4">
        <f t="shared" si="0"/>
        <v>175745</v>
      </c>
    </row>
    <row r="7" spans="1:4" x14ac:dyDescent="0.2">
      <c r="A7" s="17" t="s">
        <v>112</v>
      </c>
      <c r="B7" s="4">
        <v>61661</v>
      </c>
      <c r="C7" s="4">
        <v>0</v>
      </c>
      <c r="D7" s="4">
        <f t="shared" si="0"/>
        <v>61661</v>
      </c>
    </row>
    <row r="8" spans="1:4" x14ac:dyDescent="0.2">
      <c r="A8" s="17" t="s">
        <v>113</v>
      </c>
      <c r="B8" s="4">
        <v>0</v>
      </c>
      <c r="C8" s="4">
        <v>1796721</v>
      </c>
      <c r="D8" s="4">
        <f t="shared" si="0"/>
        <v>1796721</v>
      </c>
    </row>
    <row r="9" spans="1:4" x14ac:dyDescent="0.2">
      <c r="A9" s="17" t="s">
        <v>115</v>
      </c>
      <c r="B9" s="4">
        <v>78830</v>
      </c>
      <c r="C9" s="4">
        <v>193088</v>
      </c>
      <c r="D9" s="4">
        <f t="shared" si="0"/>
        <v>271918</v>
      </c>
    </row>
    <row r="10" spans="1:4" x14ac:dyDescent="0.2">
      <c r="A10" s="17" t="s">
        <v>114</v>
      </c>
      <c r="B10" s="4">
        <v>337016</v>
      </c>
      <c r="C10" s="4">
        <v>0</v>
      </c>
      <c r="D10" s="4">
        <f t="shared" si="0"/>
        <v>337016</v>
      </c>
    </row>
    <row r="11" spans="1:4" x14ac:dyDescent="0.2">
      <c r="A11" s="17" t="s">
        <v>42</v>
      </c>
      <c r="B11" s="4">
        <v>48234</v>
      </c>
      <c r="C11" s="4">
        <v>0</v>
      </c>
      <c r="D11" s="4">
        <f t="shared" si="0"/>
        <v>48234</v>
      </c>
    </row>
    <row r="12" spans="1:4" x14ac:dyDescent="0.2">
      <c r="A12" s="17" t="s">
        <v>116</v>
      </c>
      <c r="B12" s="4">
        <v>505840</v>
      </c>
      <c r="C12" s="4">
        <v>1243</v>
      </c>
      <c r="D12" s="4">
        <f t="shared" si="0"/>
        <v>507083</v>
      </c>
    </row>
    <row r="13" spans="1:4" x14ac:dyDescent="0.2">
      <c r="A13" s="17" t="s">
        <v>117</v>
      </c>
      <c r="B13" s="4">
        <v>197582</v>
      </c>
      <c r="C13" s="4">
        <v>4862</v>
      </c>
      <c r="D13" s="4">
        <f t="shared" si="0"/>
        <v>202444</v>
      </c>
    </row>
    <row r="14" spans="1:4" x14ac:dyDescent="0.2">
      <c r="A14" s="17" t="s">
        <v>118</v>
      </c>
      <c r="B14" s="10">
        <v>0</v>
      </c>
      <c r="C14" s="4">
        <v>0</v>
      </c>
      <c r="D14" s="4">
        <f t="shared" si="0"/>
        <v>0</v>
      </c>
    </row>
    <row r="15" spans="1:4" x14ac:dyDescent="0.2">
      <c r="A15" s="17" t="s">
        <v>119</v>
      </c>
      <c r="B15" s="4">
        <v>18190</v>
      </c>
      <c r="C15" s="4">
        <v>0</v>
      </c>
      <c r="D15" s="4">
        <f t="shared" si="0"/>
        <v>18190</v>
      </c>
    </row>
    <row r="16" spans="1:4" x14ac:dyDescent="0.2">
      <c r="A16" s="17" t="s">
        <v>120</v>
      </c>
      <c r="B16" s="4">
        <v>523517</v>
      </c>
      <c r="C16" s="4">
        <v>0</v>
      </c>
      <c r="D16" s="4">
        <f t="shared" si="0"/>
        <v>523517</v>
      </c>
    </row>
    <row r="17" spans="1:4" x14ac:dyDescent="0.2">
      <c r="A17" s="17" t="s">
        <v>121</v>
      </c>
      <c r="B17" s="4">
        <v>414278</v>
      </c>
      <c r="C17" s="4">
        <v>0</v>
      </c>
      <c r="D17" s="4">
        <f t="shared" si="0"/>
        <v>414278</v>
      </c>
    </row>
    <row r="18" spans="1:4" x14ac:dyDescent="0.2">
      <c r="A18" s="17" t="s">
        <v>122</v>
      </c>
      <c r="B18" s="4">
        <v>138737</v>
      </c>
      <c r="C18" s="4">
        <v>244</v>
      </c>
      <c r="D18" s="4">
        <f t="shared" si="0"/>
        <v>138981</v>
      </c>
    </row>
    <row r="19" spans="1:4" x14ac:dyDescent="0.2">
      <c r="A19" s="17" t="s">
        <v>123</v>
      </c>
      <c r="B19" s="4">
        <v>151218</v>
      </c>
      <c r="C19" s="4">
        <v>0</v>
      </c>
      <c r="D19" s="4">
        <f t="shared" si="0"/>
        <v>151218</v>
      </c>
    </row>
    <row r="20" spans="1:4" x14ac:dyDescent="0.2">
      <c r="A20" s="17" t="s">
        <v>124</v>
      </c>
      <c r="B20" s="4">
        <v>315824</v>
      </c>
      <c r="C20" s="4">
        <v>0</v>
      </c>
      <c r="D20" s="4">
        <f t="shared" si="0"/>
        <v>315824</v>
      </c>
    </row>
    <row r="21" spans="1:4" x14ac:dyDescent="0.2">
      <c r="A21" s="17" t="s">
        <v>125</v>
      </c>
      <c r="B21" s="4">
        <v>37833</v>
      </c>
      <c r="C21" s="4">
        <v>0</v>
      </c>
      <c r="D21" s="4">
        <f t="shared" si="0"/>
        <v>37833</v>
      </c>
    </row>
    <row r="22" spans="1:4" x14ac:dyDescent="0.2">
      <c r="A22" s="17" t="s">
        <v>0</v>
      </c>
      <c r="B22" s="4">
        <v>77181</v>
      </c>
      <c r="C22" s="4">
        <v>0</v>
      </c>
      <c r="D22" s="4">
        <f t="shared" si="0"/>
        <v>77181</v>
      </c>
    </row>
    <row r="23" spans="1:4" x14ac:dyDescent="0.2">
      <c r="A23" s="17" t="s">
        <v>1</v>
      </c>
      <c r="B23" s="4">
        <v>337673</v>
      </c>
      <c r="C23" s="4">
        <v>6795</v>
      </c>
      <c r="D23" s="4">
        <f t="shared" si="0"/>
        <v>344468</v>
      </c>
    </row>
    <row r="24" spans="1:4" x14ac:dyDescent="0.2">
      <c r="A24" s="17" t="s">
        <v>2</v>
      </c>
      <c r="B24" s="4">
        <v>530274</v>
      </c>
      <c r="C24" s="4">
        <v>0</v>
      </c>
      <c r="D24" s="4">
        <f t="shared" si="0"/>
        <v>530274</v>
      </c>
    </row>
    <row r="25" spans="1:4" x14ac:dyDescent="0.2">
      <c r="A25" s="17" t="s">
        <v>3</v>
      </c>
      <c r="B25" s="4">
        <v>353848</v>
      </c>
      <c r="C25" s="4">
        <v>19396</v>
      </c>
      <c r="D25" s="4">
        <f t="shared" si="0"/>
        <v>373244</v>
      </c>
    </row>
    <row r="26" spans="1:4" x14ac:dyDescent="0.2">
      <c r="A26" s="17" t="s">
        <v>4</v>
      </c>
      <c r="B26" s="4">
        <v>123800</v>
      </c>
      <c r="C26" s="4">
        <v>250691</v>
      </c>
      <c r="D26" s="4">
        <f t="shared" si="0"/>
        <v>374491</v>
      </c>
    </row>
    <row r="27" spans="1:4" x14ac:dyDescent="0.2">
      <c r="A27" s="17" t="s">
        <v>5</v>
      </c>
      <c r="B27" s="4">
        <v>53338</v>
      </c>
      <c r="C27" s="4">
        <v>0</v>
      </c>
      <c r="D27" s="4">
        <f t="shared" si="0"/>
        <v>53338</v>
      </c>
    </row>
    <row r="28" spans="1:4" x14ac:dyDescent="0.2">
      <c r="A28" s="17" t="s">
        <v>6</v>
      </c>
      <c r="B28" s="4">
        <v>242557</v>
      </c>
      <c r="C28" s="4">
        <v>0</v>
      </c>
      <c r="D28" s="4">
        <f t="shared" si="0"/>
        <v>242557</v>
      </c>
    </row>
    <row r="29" spans="1:4" x14ac:dyDescent="0.2">
      <c r="A29" s="17" t="s">
        <v>7</v>
      </c>
      <c r="B29" s="4">
        <v>36059</v>
      </c>
      <c r="C29" s="4">
        <v>0</v>
      </c>
      <c r="D29" s="4">
        <f t="shared" si="0"/>
        <v>36059</v>
      </c>
    </row>
    <row r="30" spans="1:4" x14ac:dyDescent="0.2">
      <c r="A30" s="17" t="s">
        <v>8</v>
      </c>
      <c r="B30" s="4">
        <v>168654</v>
      </c>
      <c r="C30" s="4">
        <v>0</v>
      </c>
      <c r="D30" s="4">
        <f t="shared" si="0"/>
        <v>168654</v>
      </c>
    </row>
    <row r="31" spans="1:4" x14ac:dyDescent="0.2">
      <c r="A31" s="17" t="s">
        <v>92</v>
      </c>
      <c r="B31" s="4">
        <v>60953</v>
      </c>
      <c r="C31" s="4">
        <v>0</v>
      </c>
      <c r="D31" s="4">
        <f t="shared" si="0"/>
        <v>60953</v>
      </c>
    </row>
    <row r="32" spans="1:4" x14ac:dyDescent="0.2">
      <c r="A32" s="17" t="s">
        <v>9</v>
      </c>
      <c r="B32" s="4">
        <v>34893</v>
      </c>
      <c r="C32" s="4">
        <v>891</v>
      </c>
      <c r="D32" s="4">
        <f t="shared" si="0"/>
        <v>35784</v>
      </c>
    </row>
    <row r="33" spans="1:4" x14ac:dyDescent="0.2">
      <c r="A33" s="17" t="s">
        <v>10</v>
      </c>
      <c r="B33" s="4">
        <v>653185</v>
      </c>
      <c r="C33" s="4">
        <v>0</v>
      </c>
      <c r="D33" s="4">
        <f t="shared" si="0"/>
        <v>653185</v>
      </c>
    </row>
    <row r="34" spans="1:4" x14ac:dyDescent="0.2">
      <c r="A34" s="17" t="s">
        <v>11</v>
      </c>
      <c r="B34" s="4">
        <v>36255</v>
      </c>
      <c r="C34" s="4">
        <v>0</v>
      </c>
      <c r="D34" s="4">
        <f t="shared" si="0"/>
        <v>36255</v>
      </c>
    </row>
    <row r="35" spans="1:4" x14ac:dyDescent="0.2">
      <c r="A35" s="17" t="s">
        <v>12</v>
      </c>
      <c r="B35" s="4">
        <v>1057107</v>
      </c>
      <c r="C35" s="4">
        <v>675851</v>
      </c>
      <c r="D35" s="4">
        <f t="shared" si="0"/>
        <v>1732958</v>
      </c>
    </row>
    <row r="36" spans="1:4" x14ac:dyDescent="0.2">
      <c r="A36" s="17" t="s">
        <v>13</v>
      </c>
      <c r="B36" s="4">
        <v>81653</v>
      </c>
      <c r="C36" s="4">
        <v>147677</v>
      </c>
      <c r="D36" s="4">
        <f t="shared" si="0"/>
        <v>229330</v>
      </c>
    </row>
    <row r="37" spans="1:4" x14ac:dyDescent="0.2">
      <c r="A37" s="17" t="s">
        <v>14</v>
      </c>
      <c r="B37" s="4">
        <v>15329</v>
      </c>
      <c r="C37" s="4">
        <v>9875</v>
      </c>
      <c r="D37" s="4">
        <f t="shared" si="0"/>
        <v>25204</v>
      </c>
    </row>
    <row r="38" spans="1:4" x14ac:dyDescent="0.2">
      <c r="A38" s="17" t="s">
        <v>15</v>
      </c>
      <c r="B38" s="4">
        <v>86868</v>
      </c>
      <c r="C38" s="4">
        <v>810128</v>
      </c>
      <c r="D38" s="4">
        <f t="shared" si="0"/>
        <v>896996</v>
      </c>
    </row>
    <row r="39" spans="1:4" x14ac:dyDescent="0.2">
      <c r="A39" s="17" t="s">
        <v>16</v>
      </c>
      <c r="B39" s="4">
        <v>108276</v>
      </c>
      <c r="C39" s="4">
        <v>0</v>
      </c>
      <c r="D39" s="4">
        <f t="shared" si="0"/>
        <v>108276</v>
      </c>
    </row>
    <row r="40" spans="1:4" x14ac:dyDescent="0.2">
      <c r="A40" s="17" t="s">
        <v>17</v>
      </c>
      <c r="B40" s="4">
        <v>202028</v>
      </c>
      <c r="C40" s="4">
        <v>0</v>
      </c>
      <c r="D40" s="4">
        <f t="shared" si="0"/>
        <v>202028</v>
      </c>
    </row>
    <row r="41" spans="1:4" x14ac:dyDescent="0.2">
      <c r="A41" s="17" t="s">
        <v>18</v>
      </c>
      <c r="B41" s="4">
        <v>917150</v>
      </c>
      <c r="C41" s="4">
        <v>383541</v>
      </c>
      <c r="D41" s="4">
        <f t="shared" si="0"/>
        <v>1300691</v>
      </c>
    </row>
    <row r="42" spans="1:4" x14ac:dyDescent="0.2">
      <c r="A42" s="17" t="s">
        <v>19</v>
      </c>
      <c r="B42" s="4">
        <v>109005</v>
      </c>
      <c r="C42" s="4">
        <v>0</v>
      </c>
      <c r="D42" s="4">
        <f t="shared" si="0"/>
        <v>109005</v>
      </c>
    </row>
    <row r="43" spans="1:4" x14ac:dyDescent="0.2">
      <c r="A43" s="17" t="s">
        <v>20</v>
      </c>
      <c r="B43" s="4">
        <v>83648</v>
      </c>
      <c r="C43" s="4">
        <v>5756</v>
      </c>
      <c r="D43" s="4">
        <f t="shared" si="0"/>
        <v>89404</v>
      </c>
    </row>
    <row r="44" spans="1:4" x14ac:dyDescent="0.2">
      <c r="A44" s="17" t="s">
        <v>21</v>
      </c>
      <c r="B44" s="4">
        <v>27624</v>
      </c>
      <c r="C44" s="4">
        <v>0</v>
      </c>
      <c r="D44" s="4">
        <f t="shared" si="0"/>
        <v>27624</v>
      </c>
    </row>
    <row r="45" spans="1:4" x14ac:dyDescent="0.2">
      <c r="A45" s="17" t="s">
        <v>22</v>
      </c>
      <c r="B45" s="4">
        <v>253197</v>
      </c>
      <c r="C45" s="4">
        <v>0</v>
      </c>
      <c r="D45" s="4">
        <f t="shared" si="0"/>
        <v>253197</v>
      </c>
    </row>
    <row r="46" spans="1:4" x14ac:dyDescent="0.2">
      <c r="A46" s="17" t="s">
        <v>23</v>
      </c>
      <c r="B46" s="4">
        <v>599244</v>
      </c>
      <c r="C46" s="4">
        <v>12331</v>
      </c>
      <c r="D46" s="4">
        <f t="shared" si="0"/>
        <v>611575</v>
      </c>
    </row>
    <row r="47" spans="1:4" x14ac:dyDescent="0.2">
      <c r="A47" s="17" t="s">
        <v>24</v>
      </c>
      <c r="B47" s="4">
        <v>84873</v>
      </c>
      <c r="C47" s="4">
        <v>80</v>
      </c>
      <c r="D47" s="4">
        <f t="shared" si="0"/>
        <v>84953</v>
      </c>
    </row>
    <row r="48" spans="1:4" x14ac:dyDescent="0.2">
      <c r="A48" s="17" t="s">
        <v>25</v>
      </c>
      <c r="B48" s="4">
        <v>36776</v>
      </c>
      <c r="C48" s="4">
        <v>0</v>
      </c>
      <c r="D48" s="4">
        <f t="shared" si="0"/>
        <v>36776</v>
      </c>
    </row>
    <row r="49" spans="1:4" x14ac:dyDescent="0.2">
      <c r="A49" s="17" t="s">
        <v>26</v>
      </c>
      <c r="B49" s="4">
        <v>301151</v>
      </c>
      <c r="C49" s="4">
        <v>193258</v>
      </c>
      <c r="D49" s="4">
        <f t="shared" si="0"/>
        <v>494409</v>
      </c>
    </row>
    <row r="50" spans="1:4" x14ac:dyDescent="0.2">
      <c r="A50" s="17" t="s">
        <v>27</v>
      </c>
      <c r="B50" s="4">
        <v>275451</v>
      </c>
      <c r="C50" s="4">
        <v>559</v>
      </c>
      <c r="D50" s="4">
        <f t="shared" si="0"/>
        <v>276010</v>
      </c>
    </row>
    <row r="51" spans="1:4" x14ac:dyDescent="0.2">
      <c r="A51" s="17" t="s">
        <v>28</v>
      </c>
      <c r="B51" s="4">
        <v>137966</v>
      </c>
      <c r="C51" s="4">
        <v>0</v>
      </c>
      <c r="D51" s="4">
        <f t="shared" si="0"/>
        <v>137966</v>
      </c>
    </row>
    <row r="52" spans="1:4" x14ac:dyDescent="0.2">
      <c r="A52" s="17" t="s">
        <v>29</v>
      </c>
      <c r="B52" s="4">
        <v>196158</v>
      </c>
      <c r="C52" s="4">
        <v>91241</v>
      </c>
      <c r="D52" s="4">
        <f t="shared" si="0"/>
        <v>287399</v>
      </c>
    </row>
    <row r="53" spans="1:4" x14ac:dyDescent="0.2">
      <c r="A53" s="17" t="s">
        <v>30</v>
      </c>
      <c r="B53" s="4">
        <v>26691</v>
      </c>
      <c r="C53" s="4">
        <v>0</v>
      </c>
      <c r="D53" s="4">
        <f t="shared" si="0"/>
        <v>26691</v>
      </c>
    </row>
    <row r="54" spans="1:4" x14ac:dyDescent="0.2">
      <c r="A54" s="17"/>
      <c r="B54" s="4"/>
    </row>
    <row r="55" spans="1:4" x14ac:dyDescent="0.2">
      <c r="A55" s="18" t="s">
        <v>32</v>
      </c>
      <c r="B55" s="4">
        <f>SUM(B4:B53)</f>
        <v>10557557</v>
      </c>
      <c r="C55" s="4">
        <f t="shared" ref="C55:D55" si="1">SUM(C4:C53)</f>
        <v>4604576</v>
      </c>
      <c r="D55" s="4">
        <f t="shared" si="1"/>
        <v>15162133</v>
      </c>
    </row>
    <row r="56" spans="1:4" x14ac:dyDescent="0.2">
      <c r="B56" s="4"/>
    </row>
    <row r="57" spans="1:4" x14ac:dyDescent="0.2">
      <c r="B57" s="4"/>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tabColor rgb="FF00B0F0"/>
  </sheetPr>
  <dimension ref="A1:W63"/>
  <sheetViews>
    <sheetView topLeftCell="E1" workbookViewId="0">
      <selection activeCell="V4" sqref="V4"/>
    </sheetView>
  </sheetViews>
  <sheetFormatPr baseColWidth="10" defaultColWidth="8.83203125" defaultRowHeight="15" x14ac:dyDescent="0.2"/>
  <cols>
    <col min="1" max="1" width="20.1640625" customWidth="1"/>
    <col min="2" max="2" width="15.83203125" customWidth="1"/>
    <col min="3" max="3" width="15.33203125" style="4" customWidth="1"/>
    <col min="4" max="4" width="16.5" style="4" customWidth="1"/>
    <col min="5" max="5" width="15.6640625" style="4" customWidth="1"/>
    <col min="6" max="6" width="15.5" style="4" customWidth="1"/>
    <col min="7" max="7" width="15" style="4" customWidth="1"/>
    <col min="9" max="9" width="10.5" customWidth="1"/>
    <col min="22" max="22" width="11.1640625" bestFit="1" customWidth="1"/>
  </cols>
  <sheetData>
    <row r="1" spans="1:23" x14ac:dyDescent="0.2">
      <c r="A1" s="1" t="s">
        <v>38</v>
      </c>
      <c r="B1" s="1"/>
    </row>
    <row r="2" spans="1:23" x14ac:dyDescent="0.2">
      <c r="A2" s="2" t="s">
        <v>80</v>
      </c>
      <c r="B2" s="2"/>
      <c r="J2" t="s">
        <v>294</v>
      </c>
    </row>
    <row r="3" spans="1:23" s="12" customFormat="1" ht="30" x14ac:dyDescent="0.2">
      <c r="A3" s="3"/>
      <c r="B3" s="3" t="s">
        <v>83</v>
      </c>
      <c r="C3" s="19" t="s">
        <v>79</v>
      </c>
      <c r="D3" s="19" t="s">
        <v>81</v>
      </c>
      <c r="E3" s="19" t="s">
        <v>84</v>
      </c>
      <c r="F3" s="19" t="s">
        <v>82</v>
      </c>
      <c r="G3" s="5" t="s">
        <v>39</v>
      </c>
      <c r="J3" s="12">
        <v>0</v>
      </c>
      <c r="K3" s="12">
        <v>1</v>
      </c>
      <c r="L3" s="12">
        <v>2</v>
      </c>
      <c r="M3" s="12">
        <v>3</v>
      </c>
      <c r="N3" s="12">
        <v>4</v>
      </c>
      <c r="O3" s="12">
        <v>5</v>
      </c>
      <c r="P3" s="12">
        <v>6</v>
      </c>
      <c r="Q3" s="88" t="s">
        <v>295</v>
      </c>
      <c r="R3" s="12" t="s">
        <v>296</v>
      </c>
      <c r="T3" s="12" t="s">
        <v>297</v>
      </c>
      <c r="U3" s="88" t="s">
        <v>298</v>
      </c>
      <c r="V3" s="88" t="s">
        <v>299</v>
      </c>
      <c r="W3" s="12" t="s">
        <v>300</v>
      </c>
    </row>
    <row r="4" spans="1:23" x14ac:dyDescent="0.2">
      <c r="A4" s="17" t="s">
        <v>109</v>
      </c>
      <c r="B4" s="17">
        <v>16442</v>
      </c>
      <c r="C4" s="4">
        <v>25869</v>
      </c>
      <c r="D4" s="4">
        <v>11830</v>
      </c>
      <c r="E4" s="4">
        <v>42672</v>
      </c>
      <c r="F4" s="4">
        <v>6896</v>
      </c>
      <c r="G4" s="4">
        <f>SUM(B4:F4)</f>
        <v>103709</v>
      </c>
      <c r="I4" s="6"/>
      <c r="J4" s="7">
        <v>0.06</v>
      </c>
      <c r="K4" s="7">
        <v>0.11</v>
      </c>
      <c r="L4" s="7">
        <v>0.13</v>
      </c>
      <c r="M4" s="7">
        <v>0.14000000000000001</v>
      </c>
      <c r="N4" s="7">
        <v>0.13</v>
      </c>
      <c r="O4" s="7">
        <v>0.1</v>
      </c>
      <c r="P4" s="7">
        <v>0.33</v>
      </c>
      <c r="Q4" s="7">
        <v>0</v>
      </c>
      <c r="R4" s="7">
        <v>0</v>
      </c>
      <c r="T4" s="89">
        <f>+J4+K4+L4</f>
        <v>0.3</v>
      </c>
      <c r="U4" s="89">
        <f>+M4+N4</f>
        <v>0.27</v>
      </c>
      <c r="V4" s="96">
        <f>1-T4-U4</f>
        <v>0.42999999999999994</v>
      </c>
      <c r="W4" s="89">
        <f>+R4</f>
        <v>0</v>
      </c>
    </row>
    <row r="5" spans="1:23" x14ac:dyDescent="0.2">
      <c r="A5" s="17" t="s">
        <v>110</v>
      </c>
      <c r="B5" s="17">
        <v>3545</v>
      </c>
      <c r="C5" s="4">
        <v>4281</v>
      </c>
      <c r="D5" s="4">
        <v>4281</v>
      </c>
      <c r="E5" s="4">
        <v>13585</v>
      </c>
      <c r="F5" s="4">
        <v>3677</v>
      </c>
      <c r="G5" s="4">
        <f t="shared" ref="G5:G53" si="0">SUM(B5:F5)</f>
        <v>29369</v>
      </c>
      <c r="J5" s="7">
        <v>0.06</v>
      </c>
      <c r="K5" s="7">
        <v>0.11</v>
      </c>
      <c r="L5" s="7">
        <v>0.14000000000000001</v>
      </c>
      <c r="M5" s="7">
        <v>0.15</v>
      </c>
      <c r="N5" s="7">
        <v>0.14000000000000001</v>
      </c>
      <c r="O5" s="7">
        <v>0.1</v>
      </c>
      <c r="P5" s="7">
        <v>0.3</v>
      </c>
      <c r="Q5" s="7">
        <v>0</v>
      </c>
      <c r="R5" s="7">
        <v>0</v>
      </c>
      <c r="T5" s="90">
        <f>+J5+K5+L5</f>
        <v>0.31</v>
      </c>
      <c r="U5" s="90">
        <f>+M5+N5</f>
        <v>0.29000000000000004</v>
      </c>
      <c r="V5" s="68">
        <f t="shared" ref="V5:V53" si="1">1-T5-U5</f>
        <v>0.39999999999999991</v>
      </c>
      <c r="W5" s="90">
        <f>+R5</f>
        <v>0</v>
      </c>
    </row>
    <row r="6" spans="1:23" x14ac:dyDescent="0.2">
      <c r="A6" s="17" t="s">
        <v>111</v>
      </c>
      <c r="B6" s="17">
        <v>19827</v>
      </c>
      <c r="C6" s="4">
        <v>37915</v>
      </c>
      <c r="D6" s="4">
        <v>18422</v>
      </c>
      <c r="E6" s="4">
        <v>55538</v>
      </c>
      <c r="F6" s="4">
        <v>10033</v>
      </c>
      <c r="G6" s="4">
        <f t="shared" si="0"/>
        <v>141735</v>
      </c>
      <c r="J6" s="7">
        <v>0.09</v>
      </c>
      <c r="K6" s="7">
        <v>0.17</v>
      </c>
      <c r="L6" s="7">
        <v>0.21</v>
      </c>
      <c r="M6" s="7">
        <v>0.19</v>
      </c>
      <c r="N6" s="7">
        <v>0.16</v>
      </c>
      <c r="O6" s="7">
        <v>0.11</v>
      </c>
      <c r="P6" s="7">
        <v>7.0000000000000007E-2</v>
      </c>
      <c r="Q6" s="7">
        <v>0</v>
      </c>
      <c r="R6" s="7">
        <v>0</v>
      </c>
      <c r="T6" s="90">
        <f t="shared" ref="T6:T53" si="2">+J6+K6+L6</f>
        <v>0.47</v>
      </c>
      <c r="U6" s="90">
        <f t="shared" ref="U6:U53" si="3">+M6+N6</f>
        <v>0.35</v>
      </c>
      <c r="V6" s="68">
        <f t="shared" si="1"/>
        <v>0.18000000000000005</v>
      </c>
      <c r="W6" s="90">
        <f t="shared" ref="W6:W53" si="4">+R6</f>
        <v>0</v>
      </c>
    </row>
    <row r="7" spans="1:23" x14ac:dyDescent="0.2">
      <c r="A7" s="17" t="s">
        <v>112</v>
      </c>
      <c r="B7" s="18">
        <v>5300</v>
      </c>
      <c r="C7" s="4">
        <v>16492</v>
      </c>
      <c r="D7" s="4">
        <v>6831</v>
      </c>
      <c r="E7" s="4">
        <v>28143</v>
      </c>
      <c r="F7" s="4">
        <v>1887</v>
      </c>
      <c r="G7" s="4">
        <f t="shared" si="0"/>
        <v>58653</v>
      </c>
      <c r="J7" s="7">
        <v>0.05</v>
      </c>
      <c r="K7" s="7">
        <v>0.09</v>
      </c>
      <c r="L7" s="7">
        <v>0.11</v>
      </c>
      <c r="M7" s="7">
        <v>0.13</v>
      </c>
      <c r="N7" s="7">
        <v>0.14000000000000001</v>
      </c>
      <c r="O7" s="7">
        <v>0.11</v>
      </c>
      <c r="P7" s="7">
        <v>0.37</v>
      </c>
      <c r="Q7" s="7">
        <v>0</v>
      </c>
      <c r="R7" s="7">
        <v>0</v>
      </c>
      <c r="T7" s="90">
        <f t="shared" si="2"/>
        <v>0.25</v>
      </c>
      <c r="U7" s="90">
        <f t="shared" si="3"/>
        <v>0.27</v>
      </c>
      <c r="V7" s="68">
        <f t="shared" si="1"/>
        <v>0.48</v>
      </c>
      <c r="W7" s="90">
        <f t="shared" si="4"/>
        <v>0</v>
      </c>
    </row>
    <row r="8" spans="1:23" x14ac:dyDescent="0.2">
      <c r="A8" s="17" t="s">
        <v>113</v>
      </c>
      <c r="B8" s="18">
        <v>85220</v>
      </c>
      <c r="C8" s="4">
        <v>210933</v>
      </c>
      <c r="D8" s="4">
        <v>231010</v>
      </c>
      <c r="E8" s="4">
        <v>242031</v>
      </c>
      <c r="F8" s="4">
        <v>85593</v>
      </c>
      <c r="G8" s="4">
        <f t="shared" si="0"/>
        <v>854787</v>
      </c>
      <c r="J8" s="7">
        <v>0.11</v>
      </c>
      <c r="K8" s="7">
        <v>0.16</v>
      </c>
      <c r="L8" s="7">
        <v>0.18</v>
      </c>
      <c r="M8" s="7">
        <v>0.16</v>
      </c>
      <c r="N8" s="7">
        <v>0.12</v>
      </c>
      <c r="O8" s="7">
        <v>0.09</v>
      </c>
      <c r="P8" s="7">
        <v>0.19</v>
      </c>
      <c r="Q8" s="7">
        <v>0</v>
      </c>
      <c r="R8" s="7">
        <v>0</v>
      </c>
      <c r="T8" s="90">
        <f t="shared" si="2"/>
        <v>0.45</v>
      </c>
      <c r="U8" s="90">
        <f t="shared" si="3"/>
        <v>0.28000000000000003</v>
      </c>
      <c r="V8" s="68">
        <f t="shared" si="1"/>
        <v>0.27</v>
      </c>
      <c r="W8" s="90">
        <f t="shared" si="4"/>
        <v>0</v>
      </c>
    </row>
    <row r="9" spans="1:23" x14ac:dyDescent="0.2">
      <c r="A9" s="17" t="s">
        <v>115</v>
      </c>
      <c r="B9" s="18">
        <v>10174</v>
      </c>
      <c r="C9" s="4">
        <v>28699</v>
      </c>
      <c r="D9" s="4">
        <v>28699</v>
      </c>
      <c r="E9" s="4">
        <v>29520</v>
      </c>
      <c r="F9" s="4">
        <v>8986</v>
      </c>
      <c r="G9" s="4">
        <f t="shared" si="0"/>
        <v>106078</v>
      </c>
      <c r="J9" s="7">
        <v>0.03</v>
      </c>
      <c r="K9" s="7">
        <v>0.05</v>
      </c>
      <c r="L9" s="7">
        <v>0.1</v>
      </c>
      <c r="M9" s="7">
        <v>0.16</v>
      </c>
      <c r="N9" s="7">
        <v>0.21</v>
      </c>
      <c r="O9" s="7">
        <v>0.12</v>
      </c>
      <c r="P9" s="7">
        <v>0.33</v>
      </c>
      <c r="Q9" s="7">
        <v>0</v>
      </c>
      <c r="R9" s="7">
        <v>0</v>
      </c>
      <c r="T9" s="90">
        <f t="shared" si="2"/>
        <v>0.18</v>
      </c>
      <c r="U9" s="90">
        <f t="shared" si="3"/>
        <v>0.37</v>
      </c>
      <c r="V9" s="68">
        <f t="shared" si="1"/>
        <v>0.45000000000000007</v>
      </c>
      <c r="W9" s="90">
        <f t="shared" si="4"/>
        <v>0</v>
      </c>
    </row>
    <row r="10" spans="1:23" x14ac:dyDescent="0.2">
      <c r="A10" s="17" t="s">
        <v>114</v>
      </c>
      <c r="B10" s="18">
        <v>18738</v>
      </c>
      <c r="C10" s="4">
        <v>18201</v>
      </c>
      <c r="D10" s="4">
        <v>18201</v>
      </c>
      <c r="E10" s="4">
        <v>14940</v>
      </c>
      <c r="F10" s="4">
        <v>47975</v>
      </c>
      <c r="G10" s="4">
        <f t="shared" si="0"/>
        <v>118055</v>
      </c>
      <c r="J10" s="7">
        <v>0.06</v>
      </c>
      <c r="K10" s="7">
        <v>0.11</v>
      </c>
      <c r="L10" s="7">
        <v>0.13</v>
      </c>
      <c r="M10" s="7">
        <v>0.15</v>
      </c>
      <c r="N10" s="7">
        <v>0.14000000000000001</v>
      </c>
      <c r="O10" s="7">
        <v>0.11</v>
      </c>
      <c r="P10" s="7">
        <v>0.3</v>
      </c>
      <c r="Q10" s="7">
        <v>0</v>
      </c>
      <c r="R10" s="7">
        <v>0</v>
      </c>
      <c r="T10" s="90">
        <f t="shared" si="2"/>
        <v>0.3</v>
      </c>
      <c r="U10" s="90">
        <f t="shared" si="3"/>
        <v>0.29000000000000004</v>
      </c>
      <c r="V10" s="68">
        <f t="shared" si="1"/>
        <v>0.40999999999999992</v>
      </c>
      <c r="W10" s="90">
        <f t="shared" si="4"/>
        <v>0</v>
      </c>
    </row>
    <row r="11" spans="1:23" x14ac:dyDescent="0.2">
      <c r="A11" s="17" t="s">
        <v>42</v>
      </c>
      <c r="B11" s="18">
        <v>5179</v>
      </c>
      <c r="C11" s="4">
        <v>4707</v>
      </c>
      <c r="D11" s="4">
        <v>3983</v>
      </c>
      <c r="E11" s="4">
        <v>5125</v>
      </c>
      <c r="F11" s="4">
        <v>5179</v>
      </c>
      <c r="G11" s="4">
        <f t="shared" si="0"/>
        <v>24173</v>
      </c>
      <c r="J11" s="7">
        <v>0.06</v>
      </c>
      <c r="K11" s="7">
        <v>0.11</v>
      </c>
      <c r="L11" s="7">
        <v>0.14000000000000001</v>
      </c>
      <c r="M11" s="7">
        <v>0.16</v>
      </c>
      <c r="N11" s="7">
        <v>0.15</v>
      </c>
      <c r="O11" s="7">
        <v>0.1</v>
      </c>
      <c r="P11" s="7">
        <v>0.28999999999999998</v>
      </c>
      <c r="Q11" s="7">
        <v>0</v>
      </c>
      <c r="R11" s="7">
        <v>0</v>
      </c>
      <c r="T11" s="90">
        <f t="shared" si="2"/>
        <v>0.31</v>
      </c>
      <c r="U11" s="90">
        <f t="shared" si="3"/>
        <v>0.31</v>
      </c>
      <c r="V11" s="68">
        <f t="shared" si="1"/>
        <v>0.37999999999999995</v>
      </c>
      <c r="W11" s="90">
        <f t="shared" si="4"/>
        <v>0</v>
      </c>
    </row>
    <row r="12" spans="1:23" x14ac:dyDescent="0.2">
      <c r="A12" s="17" t="s">
        <v>116</v>
      </c>
      <c r="B12" s="18">
        <v>43026</v>
      </c>
      <c r="C12" s="4">
        <v>90836</v>
      </c>
      <c r="D12" s="4">
        <v>71397</v>
      </c>
      <c r="E12" s="4">
        <v>226580</v>
      </c>
      <c r="F12" s="4">
        <v>33416</v>
      </c>
      <c r="G12" s="4">
        <f t="shared" si="0"/>
        <v>465255</v>
      </c>
      <c r="J12" s="7">
        <v>0.05</v>
      </c>
      <c r="K12" s="7">
        <v>0.1</v>
      </c>
      <c r="L12" s="7">
        <v>0.14000000000000001</v>
      </c>
      <c r="M12" s="7">
        <v>0.16</v>
      </c>
      <c r="N12" s="7">
        <v>0.16</v>
      </c>
      <c r="O12" s="7">
        <v>0.12</v>
      </c>
      <c r="P12" s="7">
        <v>0.25</v>
      </c>
      <c r="Q12" s="7">
        <v>0</v>
      </c>
      <c r="R12" s="7">
        <v>0</v>
      </c>
      <c r="T12" s="90">
        <f t="shared" si="2"/>
        <v>0.29000000000000004</v>
      </c>
      <c r="U12" s="90">
        <f t="shared" si="3"/>
        <v>0.32</v>
      </c>
      <c r="V12" s="68">
        <f t="shared" si="1"/>
        <v>0.38999999999999996</v>
      </c>
      <c r="W12" s="90">
        <f t="shared" si="4"/>
        <v>0</v>
      </c>
    </row>
    <row r="13" spans="1:23" x14ac:dyDescent="0.2">
      <c r="A13" s="17" t="s">
        <v>117</v>
      </c>
      <c r="B13" s="18">
        <v>26414</v>
      </c>
      <c r="C13" s="4">
        <v>40730</v>
      </c>
      <c r="D13" s="4">
        <v>20833</v>
      </c>
      <c r="E13" s="4">
        <v>67204</v>
      </c>
      <c r="F13" s="4">
        <v>23310</v>
      </c>
      <c r="G13" s="4">
        <f t="shared" si="0"/>
        <v>178491</v>
      </c>
      <c r="J13" s="7">
        <v>0.05</v>
      </c>
      <c r="K13" s="7">
        <v>0.1</v>
      </c>
      <c r="L13" s="7">
        <v>0.13</v>
      </c>
      <c r="M13" s="7">
        <v>0.14000000000000001</v>
      </c>
      <c r="N13" s="7">
        <v>0.13</v>
      </c>
      <c r="O13" s="7">
        <v>0.1</v>
      </c>
      <c r="P13" s="7">
        <v>0.34</v>
      </c>
      <c r="Q13" s="7">
        <v>0</v>
      </c>
      <c r="R13" s="7">
        <v>0</v>
      </c>
      <c r="T13" s="90">
        <f t="shared" si="2"/>
        <v>0.28000000000000003</v>
      </c>
      <c r="U13" s="90">
        <f t="shared" si="3"/>
        <v>0.27</v>
      </c>
      <c r="V13" s="68">
        <f t="shared" si="1"/>
        <v>0.44999999999999996</v>
      </c>
      <c r="W13" s="90">
        <f t="shared" si="4"/>
        <v>0</v>
      </c>
    </row>
    <row r="14" spans="1:23" x14ac:dyDescent="0.2">
      <c r="A14" s="17" t="s">
        <v>118</v>
      </c>
      <c r="B14" s="18">
        <v>4972</v>
      </c>
      <c r="C14" s="4">
        <v>7040</v>
      </c>
      <c r="D14" s="4">
        <v>6907</v>
      </c>
      <c r="E14" s="4">
        <v>22683</v>
      </c>
      <c r="F14" s="4">
        <v>4972</v>
      </c>
      <c r="G14" s="4">
        <f t="shared" si="0"/>
        <v>46574</v>
      </c>
      <c r="J14" s="7">
        <v>0.06</v>
      </c>
      <c r="K14" s="7">
        <v>0.12</v>
      </c>
      <c r="L14" s="7">
        <v>0.14000000000000001</v>
      </c>
      <c r="M14" s="7">
        <v>0.16</v>
      </c>
      <c r="N14" s="7">
        <v>0.15</v>
      </c>
      <c r="O14" s="7">
        <v>0.08</v>
      </c>
      <c r="P14" s="7">
        <v>0.28000000000000003</v>
      </c>
      <c r="Q14" s="7">
        <v>0</v>
      </c>
      <c r="R14" s="7">
        <v>0</v>
      </c>
      <c r="T14" s="90">
        <f t="shared" si="2"/>
        <v>0.32</v>
      </c>
      <c r="U14" s="90">
        <f t="shared" si="3"/>
        <v>0.31</v>
      </c>
      <c r="V14" s="68">
        <f t="shared" si="1"/>
        <v>0.36999999999999994</v>
      </c>
      <c r="W14" s="90">
        <f t="shared" si="4"/>
        <v>0</v>
      </c>
    </row>
    <row r="15" spans="1:23" x14ac:dyDescent="0.2">
      <c r="A15" s="17" t="s">
        <v>119</v>
      </c>
      <c r="B15" s="18">
        <v>2868</v>
      </c>
      <c r="C15" s="4">
        <v>7</v>
      </c>
      <c r="D15" s="4">
        <v>3</v>
      </c>
      <c r="E15" s="4">
        <v>18282</v>
      </c>
      <c r="F15" s="4">
        <v>1176</v>
      </c>
      <c r="G15" s="4">
        <f t="shared" si="0"/>
        <v>22336</v>
      </c>
      <c r="J15" s="7">
        <v>0.06</v>
      </c>
      <c r="K15" s="7">
        <v>0.1</v>
      </c>
      <c r="L15" s="7">
        <v>0.13</v>
      </c>
      <c r="M15" s="7">
        <v>0.14000000000000001</v>
      </c>
      <c r="N15" s="7">
        <v>0.14000000000000001</v>
      </c>
      <c r="O15" s="7">
        <v>0.12</v>
      </c>
      <c r="P15" s="7">
        <v>0.31</v>
      </c>
      <c r="Q15" s="7">
        <v>0</v>
      </c>
      <c r="R15" s="7">
        <v>0</v>
      </c>
      <c r="T15" s="90">
        <f t="shared" si="2"/>
        <v>0.29000000000000004</v>
      </c>
      <c r="U15" s="90">
        <f t="shared" si="3"/>
        <v>0.28000000000000003</v>
      </c>
      <c r="V15" s="68">
        <f t="shared" si="1"/>
        <v>0.42999999999999994</v>
      </c>
      <c r="W15" s="90">
        <f t="shared" si="4"/>
        <v>0</v>
      </c>
    </row>
    <row r="16" spans="1:23" x14ac:dyDescent="0.2">
      <c r="A16" s="17" t="s">
        <v>120</v>
      </c>
      <c r="B16" s="18">
        <v>56874</v>
      </c>
      <c r="C16" s="4">
        <v>71258</v>
      </c>
      <c r="D16" s="4">
        <v>71258</v>
      </c>
      <c r="E16" s="4">
        <v>80078</v>
      </c>
      <c r="F16" s="4">
        <v>56874</v>
      </c>
      <c r="G16" s="4">
        <f t="shared" si="0"/>
        <v>336342</v>
      </c>
      <c r="J16" s="7">
        <v>0.05</v>
      </c>
      <c r="K16" s="7">
        <v>0.09</v>
      </c>
      <c r="L16" s="7">
        <v>0.11</v>
      </c>
      <c r="M16" s="7">
        <v>0.12</v>
      </c>
      <c r="N16" s="7">
        <v>0.12</v>
      </c>
      <c r="O16" s="7">
        <v>0.1</v>
      </c>
      <c r="P16" s="7">
        <v>0.4</v>
      </c>
      <c r="Q16" s="7">
        <v>0</v>
      </c>
      <c r="R16" s="7">
        <v>0</v>
      </c>
      <c r="T16" s="90">
        <f t="shared" si="2"/>
        <v>0.25</v>
      </c>
      <c r="U16" s="90">
        <f t="shared" si="3"/>
        <v>0.24</v>
      </c>
      <c r="V16" s="68">
        <f t="shared" si="1"/>
        <v>0.51</v>
      </c>
      <c r="W16" s="90">
        <f t="shared" si="4"/>
        <v>0</v>
      </c>
    </row>
    <row r="17" spans="1:23" x14ac:dyDescent="0.2">
      <c r="A17" s="17" t="s">
        <v>121</v>
      </c>
      <c r="B17" s="18">
        <v>26182</v>
      </c>
      <c r="C17" s="4">
        <v>36938</v>
      </c>
      <c r="D17" s="4">
        <v>18226</v>
      </c>
      <c r="E17" s="4">
        <v>76379</v>
      </c>
      <c r="F17" s="4">
        <v>15357</v>
      </c>
      <c r="G17" s="4">
        <f t="shared" si="0"/>
        <v>173082</v>
      </c>
      <c r="J17" s="7">
        <v>0.04</v>
      </c>
      <c r="K17" s="7">
        <v>0.09</v>
      </c>
      <c r="L17" s="7">
        <v>0.13</v>
      </c>
      <c r="M17" s="7">
        <v>0.14000000000000001</v>
      </c>
      <c r="N17" s="7">
        <v>0.13</v>
      </c>
      <c r="O17" s="7">
        <v>0.13</v>
      </c>
      <c r="P17" s="7">
        <v>0.34</v>
      </c>
      <c r="Q17" s="7">
        <v>0</v>
      </c>
      <c r="R17" s="7">
        <v>0</v>
      </c>
      <c r="T17" s="90">
        <f t="shared" si="2"/>
        <v>0.26</v>
      </c>
      <c r="U17" s="90">
        <f t="shared" si="3"/>
        <v>0.27</v>
      </c>
      <c r="V17" s="68">
        <f t="shared" si="1"/>
        <v>0.47</v>
      </c>
      <c r="W17" s="90">
        <f t="shared" si="4"/>
        <v>0</v>
      </c>
    </row>
    <row r="18" spans="1:23" x14ac:dyDescent="0.2">
      <c r="A18" s="17" t="s">
        <v>122</v>
      </c>
      <c r="B18" s="18">
        <v>8508</v>
      </c>
      <c r="C18" s="4">
        <v>16800</v>
      </c>
      <c r="D18" s="4">
        <v>10873</v>
      </c>
      <c r="E18" s="4">
        <v>42337</v>
      </c>
      <c r="F18" s="4">
        <v>5079</v>
      </c>
      <c r="G18" s="4">
        <f t="shared" si="0"/>
        <v>83597</v>
      </c>
      <c r="J18" s="7">
        <v>0.06</v>
      </c>
      <c r="K18" s="7">
        <v>0.1</v>
      </c>
      <c r="L18" s="7">
        <v>0.12</v>
      </c>
      <c r="M18" s="7">
        <v>0.13</v>
      </c>
      <c r="N18" s="7">
        <v>0.13</v>
      </c>
      <c r="O18" s="7">
        <v>0.11</v>
      </c>
      <c r="P18" s="7">
        <v>0.34</v>
      </c>
      <c r="Q18" s="7">
        <v>0</v>
      </c>
      <c r="R18" s="7">
        <v>0</v>
      </c>
      <c r="T18" s="90">
        <f t="shared" si="2"/>
        <v>0.28000000000000003</v>
      </c>
      <c r="U18" s="90">
        <f t="shared" si="3"/>
        <v>0.26</v>
      </c>
      <c r="V18" s="68">
        <f t="shared" si="1"/>
        <v>0.45999999999999996</v>
      </c>
      <c r="W18" s="90">
        <f t="shared" si="4"/>
        <v>0</v>
      </c>
    </row>
    <row r="19" spans="1:23" x14ac:dyDescent="0.2">
      <c r="A19" s="17" t="s">
        <v>123</v>
      </c>
      <c r="B19" s="18">
        <v>9812</v>
      </c>
      <c r="C19" s="4">
        <v>16707</v>
      </c>
      <c r="D19" s="4">
        <v>12650</v>
      </c>
      <c r="E19" s="4">
        <v>35443</v>
      </c>
      <c r="F19" s="4">
        <v>11532</v>
      </c>
      <c r="G19" s="4">
        <f t="shared" si="0"/>
        <v>86144</v>
      </c>
      <c r="J19" s="7">
        <v>0.05</v>
      </c>
      <c r="K19" s="7">
        <v>0.1</v>
      </c>
      <c r="L19" s="7">
        <v>0.12</v>
      </c>
      <c r="M19" s="7">
        <v>0.14000000000000001</v>
      </c>
      <c r="N19" s="7">
        <v>0.13</v>
      </c>
      <c r="O19" s="7">
        <v>0.11</v>
      </c>
      <c r="P19" s="7">
        <v>0.35</v>
      </c>
      <c r="Q19" s="7">
        <v>0</v>
      </c>
      <c r="R19" s="7">
        <v>0</v>
      </c>
      <c r="T19" s="90">
        <f t="shared" si="2"/>
        <v>0.27</v>
      </c>
      <c r="U19" s="90">
        <f t="shared" si="3"/>
        <v>0.27</v>
      </c>
      <c r="V19" s="68">
        <f t="shared" si="1"/>
        <v>0.45999999999999996</v>
      </c>
      <c r="W19" s="90">
        <f t="shared" si="4"/>
        <v>0</v>
      </c>
    </row>
    <row r="20" spans="1:23" x14ac:dyDescent="0.2">
      <c r="A20" s="17" t="s">
        <v>124</v>
      </c>
      <c r="B20" s="18">
        <v>16702</v>
      </c>
      <c r="C20" s="4">
        <v>23651</v>
      </c>
      <c r="D20" s="4">
        <v>9576</v>
      </c>
      <c r="E20" s="4">
        <v>87370</v>
      </c>
      <c r="F20" s="4">
        <v>7275</v>
      </c>
      <c r="G20" s="4">
        <f t="shared" si="0"/>
        <v>144574</v>
      </c>
      <c r="J20" s="7">
        <v>7.0000000000000007E-2</v>
      </c>
      <c r="K20" s="7">
        <v>0.11</v>
      </c>
      <c r="L20" s="7">
        <v>0.13</v>
      </c>
      <c r="M20" s="7">
        <v>0.14000000000000001</v>
      </c>
      <c r="N20" s="7">
        <v>0.13</v>
      </c>
      <c r="O20" s="7">
        <v>0.1</v>
      </c>
      <c r="P20" s="7">
        <v>0.31</v>
      </c>
      <c r="Q20" s="7">
        <v>0</v>
      </c>
      <c r="R20" s="7">
        <v>0</v>
      </c>
      <c r="T20" s="90">
        <f t="shared" si="2"/>
        <v>0.31</v>
      </c>
      <c r="U20" s="90">
        <f t="shared" si="3"/>
        <v>0.27</v>
      </c>
      <c r="V20" s="68">
        <f t="shared" si="1"/>
        <v>0.41999999999999993</v>
      </c>
      <c r="W20" s="90">
        <f t="shared" si="4"/>
        <v>0</v>
      </c>
    </row>
    <row r="21" spans="1:23" x14ac:dyDescent="0.2">
      <c r="A21" s="17" t="s">
        <v>125</v>
      </c>
      <c r="B21" s="18">
        <v>13864</v>
      </c>
      <c r="C21" s="4">
        <v>25887</v>
      </c>
      <c r="D21" s="4">
        <v>16488</v>
      </c>
      <c r="E21" s="4">
        <v>42491</v>
      </c>
      <c r="F21" s="4">
        <v>5220</v>
      </c>
      <c r="G21" s="4">
        <f t="shared" si="0"/>
        <v>103950</v>
      </c>
      <c r="J21" s="7">
        <v>0.08</v>
      </c>
      <c r="K21" s="7">
        <v>0.15</v>
      </c>
      <c r="L21" s="7">
        <v>0.19</v>
      </c>
      <c r="M21" s="7">
        <v>0.18</v>
      </c>
      <c r="N21" s="7">
        <v>0.13</v>
      </c>
      <c r="O21" s="7">
        <v>0.08</v>
      </c>
      <c r="P21" s="7">
        <v>0.2</v>
      </c>
      <c r="Q21" s="7">
        <v>0</v>
      </c>
      <c r="R21" s="7">
        <v>0</v>
      </c>
      <c r="T21" s="90">
        <f t="shared" si="2"/>
        <v>0.42</v>
      </c>
      <c r="U21" s="90">
        <f t="shared" si="3"/>
        <v>0.31</v>
      </c>
      <c r="V21" s="68">
        <f t="shared" si="1"/>
        <v>0.27000000000000007</v>
      </c>
      <c r="W21" s="90">
        <f t="shared" si="4"/>
        <v>0</v>
      </c>
    </row>
    <row r="22" spans="1:23" x14ac:dyDescent="0.2">
      <c r="A22" s="17" t="s">
        <v>0</v>
      </c>
      <c r="B22" s="18">
        <v>3019</v>
      </c>
      <c r="C22" s="4">
        <v>5997</v>
      </c>
      <c r="D22" s="4">
        <v>3570</v>
      </c>
      <c r="E22" s="4">
        <v>6303</v>
      </c>
      <c r="F22" s="4">
        <v>1750</v>
      </c>
      <c r="G22" s="4">
        <f t="shared" si="0"/>
        <v>20639</v>
      </c>
      <c r="J22" s="7">
        <v>0.05</v>
      </c>
      <c r="K22" s="7">
        <v>0.1</v>
      </c>
      <c r="L22" s="7">
        <v>0.13</v>
      </c>
      <c r="M22" s="7">
        <v>0.15</v>
      </c>
      <c r="N22" s="7">
        <v>0.16</v>
      </c>
      <c r="O22" s="7">
        <v>0.1</v>
      </c>
      <c r="P22" s="7">
        <v>0.31</v>
      </c>
      <c r="Q22" s="7">
        <v>0</v>
      </c>
      <c r="R22" s="7">
        <v>0</v>
      </c>
      <c r="T22" s="90">
        <f t="shared" si="2"/>
        <v>0.28000000000000003</v>
      </c>
      <c r="U22" s="90">
        <f t="shared" si="3"/>
        <v>0.31</v>
      </c>
      <c r="V22" s="68">
        <f t="shared" si="1"/>
        <v>0.41</v>
      </c>
      <c r="W22" s="90">
        <f t="shared" si="4"/>
        <v>0</v>
      </c>
    </row>
    <row r="23" spans="1:23" x14ac:dyDescent="0.2">
      <c r="A23" s="17" t="s">
        <v>1</v>
      </c>
      <c r="B23" s="18">
        <v>23301</v>
      </c>
      <c r="C23" s="4">
        <v>30725</v>
      </c>
      <c r="D23" s="4">
        <v>30725</v>
      </c>
      <c r="E23" s="4">
        <v>23419</v>
      </c>
      <c r="F23" s="4">
        <v>23301</v>
      </c>
      <c r="G23" s="4">
        <f t="shared" si="0"/>
        <v>131471</v>
      </c>
      <c r="J23" s="7">
        <v>0.03</v>
      </c>
      <c r="K23" s="7">
        <v>0.1</v>
      </c>
      <c r="L23" s="7">
        <v>0.14000000000000001</v>
      </c>
      <c r="M23" s="7">
        <v>0.15</v>
      </c>
      <c r="N23" s="7">
        <v>0.13</v>
      </c>
      <c r="O23" s="7">
        <v>0.1</v>
      </c>
      <c r="P23" s="7">
        <v>0.34</v>
      </c>
      <c r="Q23" s="7">
        <v>0</v>
      </c>
      <c r="R23" s="7">
        <v>0</v>
      </c>
      <c r="T23" s="90">
        <f t="shared" si="2"/>
        <v>0.27</v>
      </c>
      <c r="U23" s="90">
        <f t="shared" si="3"/>
        <v>0.28000000000000003</v>
      </c>
      <c r="V23" s="68">
        <f t="shared" si="1"/>
        <v>0.44999999999999996</v>
      </c>
      <c r="W23" s="90">
        <f t="shared" si="4"/>
        <v>0</v>
      </c>
    </row>
    <row r="24" spans="1:23" x14ac:dyDescent="0.2">
      <c r="A24" s="17" t="s">
        <v>2</v>
      </c>
      <c r="B24" s="18">
        <v>44973</v>
      </c>
      <c r="C24" s="4">
        <v>31891</v>
      </c>
      <c r="D24" s="4">
        <v>31891</v>
      </c>
      <c r="E24" s="4">
        <v>118940</v>
      </c>
      <c r="F24" s="4">
        <v>44973</v>
      </c>
      <c r="G24" s="4">
        <f t="shared" si="0"/>
        <v>272668</v>
      </c>
      <c r="J24" s="7">
        <v>0.04</v>
      </c>
      <c r="K24" s="7">
        <v>0.1</v>
      </c>
      <c r="L24" s="7">
        <v>0.12</v>
      </c>
      <c r="M24" s="7">
        <v>0.15</v>
      </c>
      <c r="N24" s="7">
        <v>0.15</v>
      </c>
      <c r="O24" s="7">
        <v>0.12</v>
      </c>
      <c r="P24" s="7">
        <v>0.31</v>
      </c>
      <c r="Q24" s="7">
        <v>0</v>
      </c>
      <c r="R24" s="7">
        <v>0</v>
      </c>
      <c r="T24" s="90">
        <f t="shared" si="2"/>
        <v>0.26</v>
      </c>
      <c r="U24" s="90">
        <f t="shared" si="3"/>
        <v>0.3</v>
      </c>
      <c r="V24" s="68">
        <f t="shared" si="1"/>
        <v>0.44</v>
      </c>
      <c r="W24" s="90">
        <f t="shared" si="4"/>
        <v>0</v>
      </c>
    </row>
    <row r="25" spans="1:23" x14ac:dyDescent="0.2">
      <c r="A25" s="17" t="s">
        <v>3</v>
      </c>
      <c r="B25" s="18">
        <v>32082</v>
      </c>
      <c r="C25" s="4">
        <v>52511</v>
      </c>
      <c r="D25" s="4">
        <v>26883</v>
      </c>
      <c r="E25" s="4">
        <v>70025</v>
      </c>
      <c r="F25" s="4">
        <v>24411</v>
      </c>
      <c r="G25" s="4">
        <f t="shared" si="0"/>
        <v>205912</v>
      </c>
      <c r="J25" s="7">
        <v>0.05</v>
      </c>
      <c r="K25" s="7">
        <v>0.1</v>
      </c>
      <c r="L25" s="7">
        <v>0.12</v>
      </c>
      <c r="M25" s="7">
        <v>0.12</v>
      </c>
      <c r="N25" s="7">
        <v>0.12</v>
      </c>
      <c r="O25" s="7">
        <v>0.09</v>
      </c>
      <c r="P25" s="7">
        <v>0.39</v>
      </c>
      <c r="Q25" s="7">
        <v>0</v>
      </c>
      <c r="R25" s="7">
        <v>0</v>
      </c>
      <c r="T25" s="90">
        <f t="shared" si="2"/>
        <v>0.27</v>
      </c>
      <c r="U25" s="90">
        <f t="shared" si="3"/>
        <v>0.24</v>
      </c>
      <c r="V25" s="68">
        <f t="shared" si="1"/>
        <v>0.49</v>
      </c>
      <c r="W25" s="90">
        <f t="shared" si="4"/>
        <v>0</v>
      </c>
    </row>
    <row r="26" spans="1:23" x14ac:dyDescent="0.2">
      <c r="A26" s="17" t="s">
        <v>4</v>
      </c>
      <c r="B26" s="18">
        <v>23367</v>
      </c>
      <c r="C26" s="4">
        <v>29584</v>
      </c>
      <c r="D26" s="4">
        <v>29584</v>
      </c>
      <c r="E26" s="4">
        <v>92777</v>
      </c>
      <c r="F26" s="4">
        <v>19690</v>
      </c>
      <c r="G26" s="4">
        <f t="shared" si="0"/>
        <v>195002</v>
      </c>
      <c r="J26" s="7">
        <v>0.05</v>
      </c>
      <c r="K26" s="7">
        <v>0.1</v>
      </c>
      <c r="L26" s="7">
        <v>0.12</v>
      </c>
      <c r="M26" s="7">
        <v>0.14000000000000001</v>
      </c>
      <c r="N26" s="7">
        <v>0.14000000000000001</v>
      </c>
      <c r="O26" s="7">
        <v>0.11</v>
      </c>
      <c r="P26" s="7">
        <v>0.34</v>
      </c>
      <c r="Q26" s="7">
        <v>0</v>
      </c>
      <c r="R26" s="7">
        <v>0</v>
      </c>
      <c r="T26" s="90">
        <f t="shared" si="2"/>
        <v>0.27</v>
      </c>
      <c r="U26" s="90">
        <f t="shared" si="3"/>
        <v>0.28000000000000003</v>
      </c>
      <c r="V26" s="68">
        <f t="shared" si="1"/>
        <v>0.44999999999999996</v>
      </c>
      <c r="W26" s="90">
        <f t="shared" si="4"/>
        <v>0</v>
      </c>
    </row>
    <row r="27" spans="1:23" x14ac:dyDescent="0.2">
      <c r="A27" s="17" t="s">
        <v>5</v>
      </c>
      <c r="B27" s="18">
        <v>6293</v>
      </c>
      <c r="C27" s="4">
        <v>17415</v>
      </c>
      <c r="D27" s="4">
        <v>6062</v>
      </c>
      <c r="E27" s="4">
        <v>49268</v>
      </c>
      <c r="F27" s="4">
        <v>1715</v>
      </c>
      <c r="G27" s="4">
        <f t="shared" si="0"/>
        <v>80753</v>
      </c>
      <c r="J27" s="7">
        <v>0.04</v>
      </c>
      <c r="K27" s="7">
        <v>0.1</v>
      </c>
      <c r="L27" s="7">
        <v>0.13</v>
      </c>
      <c r="M27" s="7">
        <v>0.14000000000000001</v>
      </c>
      <c r="N27" s="7">
        <v>0.13</v>
      </c>
      <c r="O27" s="7">
        <v>0.11</v>
      </c>
      <c r="P27" s="7">
        <v>0.35</v>
      </c>
      <c r="Q27" s="7">
        <v>0.01</v>
      </c>
      <c r="R27" s="7">
        <v>0</v>
      </c>
      <c r="T27" s="90">
        <f t="shared" si="2"/>
        <v>0.27</v>
      </c>
      <c r="U27" s="90">
        <f t="shared" si="3"/>
        <v>0.27</v>
      </c>
      <c r="V27" s="68">
        <f t="shared" si="1"/>
        <v>0.45999999999999996</v>
      </c>
      <c r="W27" s="90">
        <f t="shared" si="4"/>
        <v>0</v>
      </c>
    </row>
    <row r="28" spans="1:23" x14ac:dyDescent="0.2">
      <c r="A28" s="17" t="s">
        <v>6</v>
      </c>
      <c r="B28" s="18">
        <v>24646</v>
      </c>
      <c r="C28" s="4">
        <v>32698</v>
      </c>
      <c r="D28" s="4">
        <v>18836</v>
      </c>
      <c r="E28" s="4">
        <v>67344</v>
      </c>
      <c r="F28" s="4">
        <v>16549</v>
      </c>
      <c r="G28" s="4">
        <f t="shared" si="0"/>
        <v>160073</v>
      </c>
      <c r="J28" s="7">
        <v>0.06</v>
      </c>
      <c r="K28" s="7">
        <v>0.11</v>
      </c>
      <c r="L28" s="7">
        <v>0.13</v>
      </c>
      <c r="M28" s="7">
        <v>0.15</v>
      </c>
      <c r="N28" s="7">
        <v>0.14000000000000001</v>
      </c>
      <c r="O28" s="7">
        <v>0.1</v>
      </c>
      <c r="P28" s="7">
        <v>0.28999999999999998</v>
      </c>
      <c r="Q28" s="7">
        <v>0.01</v>
      </c>
      <c r="R28" s="7">
        <v>0</v>
      </c>
      <c r="T28" s="90">
        <f t="shared" si="2"/>
        <v>0.3</v>
      </c>
      <c r="U28" s="90">
        <f t="shared" si="3"/>
        <v>0.29000000000000004</v>
      </c>
      <c r="V28" s="68">
        <f t="shared" si="1"/>
        <v>0.40999999999999992</v>
      </c>
      <c r="W28" s="90">
        <f t="shared" si="4"/>
        <v>0</v>
      </c>
    </row>
    <row r="29" spans="1:23" x14ac:dyDescent="0.2">
      <c r="A29" s="17" t="s">
        <v>7</v>
      </c>
      <c r="B29" s="18">
        <v>3191</v>
      </c>
      <c r="C29" s="4">
        <v>5120</v>
      </c>
      <c r="D29" s="4">
        <v>2625</v>
      </c>
      <c r="E29" s="4">
        <v>15812</v>
      </c>
      <c r="F29" s="4">
        <v>1314</v>
      </c>
      <c r="G29" s="4">
        <f t="shared" si="0"/>
        <v>28062</v>
      </c>
      <c r="J29" s="7">
        <v>7.0000000000000007E-2</v>
      </c>
      <c r="K29" s="7">
        <v>0.12</v>
      </c>
      <c r="L29" s="7">
        <v>0.14000000000000001</v>
      </c>
      <c r="M29" s="7">
        <v>0.14000000000000001</v>
      </c>
      <c r="N29" s="7">
        <v>0.15</v>
      </c>
      <c r="O29" s="7">
        <v>0.11</v>
      </c>
      <c r="P29" s="7">
        <v>0.27</v>
      </c>
      <c r="Q29" s="7">
        <v>0</v>
      </c>
      <c r="R29" s="7">
        <v>0</v>
      </c>
      <c r="T29" s="90">
        <f t="shared" si="2"/>
        <v>0.33</v>
      </c>
      <c r="U29" s="90">
        <f t="shared" si="3"/>
        <v>0.29000000000000004</v>
      </c>
      <c r="V29" s="68">
        <f t="shared" si="1"/>
        <v>0.37999999999999989</v>
      </c>
      <c r="W29" s="90">
        <f t="shared" si="4"/>
        <v>0</v>
      </c>
    </row>
    <row r="30" spans="1:23" x14ac:dyDescent="0.2">
      <c r="A30" s="17" t="s">
        <v>8</v>
      </c>
      <c r="B30" s="18">
        <v>10595</v>
      </c>
      <c r="C30" s="4">
        <v>10586</v>
      </c>
      <c r="D30" s="4">
        <v>8104</v>
      </c>
      <c r="E30" s="4">
        <v>28652</v>
      </c>
      <c r="F30" s="4">
        <v>46698</v>
      </c>
      <c r="G30" s="4">
        <f t="shared" si="0"/>
        <v>104635</v>
      </c>
      <c r="J30" s="7">
        <v>7.0000000000000007E-2</v>
      </c>
      <c r="K30" s="7">
        <v>0.11</v>
      </c>
      <c r="L30" s="7">
        <v>0.13</v>
      </c>
      <c r="M30" s="7">
        <v>0.13</v>
      </c>
      <c r="N30" s="7">
        <v>0.13</v>
      </c>
      <c r="O30" s="7">
        <v>0.1</v>
      </c>
      <c r="P30" s="7">
        <v>0.32</v>
      </c>
      <c r="Q30" s="7">
        <v>0</v>
      </c>
      <c r="R30" s="7">
        <v>0</v>
      </c>
      <c r="T30" s="90">
        <f t="shared" si="2"/>
        <v>0.31</v>
      </c>
      <c r="U30" s="90">
        <f t="shared" si="3"/>
        <v>0.26</v>
      </c>
      <c r="V30" s="68">
        <f t="shared" si="1"/>
        <v>0.42999999999999994</v>
      </c>
      <c r="W30" s="90">
        <f t="shared" si="4"/>
        <v>0</v>
      </c>
    </row>
    <row r="31" spans="1:23" x14ac:dyDescent="0.2">
      <c r="A31" s="17" t="s">
        <v>92</v>
      </c>
      <c r="B31" s="18">
        <v>2580</v>
      </c>
      <c r="C31" s="4">
        <v>15425</v>
      </c>
      <c r="D31" s="4">
        <v>12022</v>
      </c>
      <c r="E31" s="4">
        <v>17380</v>
      </c>
      <c r="F31" s="4">
        <v>2580</v>
      </c>
      <c r="G31" s="4">
        <f t="shared" si="0"/>
        <v>49987</v>
      </c>
      <c r="J31" s="7">
        <v>0.06</v>
      </c>
      <c r="K31" s="7">
        <v>0.1</v>
      </c>
      <c r="L31" s="7">
        <v>0.12</v>
      </c>
      <c r="M31" s="7">
        <v>0.13</v>
      </c>
      <c r="N31" s="7">
        <v>0.14000000000000001</v>
      </c>
      <c r="O31" s="7">
        <v>0.11</v>
      </c>
      <c r="P31" s="7">
        <v>0.34</v>
      </c>
      <c r="Q31" s="7">
        <v>0</v>
      </c>
      <c r="R31" s="7">
        <v>0</v>
      </c>
      <c r="T31" s="90">
        <f t="shared" si="2"/>
        <v>0.28000000000000003</v>
      </c>
      <c r="U31" s="90">
        <f t="shared" si="3"/>
        <v>0.27</v>
      </c>
      <c r="V31" s="68">
        <f t="shared" si="1"/>
        <v>0.44999999999999996</v>
      </c>
      <c r="W31" s="90">
        <f t="shared" si="4"/>
        <v>0</v>
      </c>
    </row>
    <row r="32" spans="1:23" x14ac:dyDescent="0.2">
      <c r="A32" s="17" t="s">
        <v>9</v>
      </c>
      <c r="B32" s="18">
        <v>4582</v>
      </c>
      <c r="C32" s="4">
        <v>6337</v>
      </c>
      <c r="D32" s="4">
        <v>6337</v>
      </c>
      <c r="E32" s="4">
        <v>5711</v>
      </c>
      <c r="F32" s="4">
        <v>4854</v>
      </c>
      <c r="G32" s="4">
        <f t="shared" si="0"/>
        <v>27821</v>
      </c>
      <c r="J32" s="7">
        <v>0.04</v>
      </c>
      <c r="K32" s="7">
        <v>0.11</v>
      </c>
      <c r="L32" s="7">
        <v>0.15</v>
      </c>
      <c r="M32" s="7">
        <v>0.17</v>
      </c>
      <c r="N32" s="7">
        <v>0.18</v>
      </c>
      <c r="O32" s="7">
        <v>0.13</v>
      </c>
      <c r="P32" s="7">
        <v>0.22</v>
      </c>
      <c r="Q32" s="7">
        <v>0</v>
      </c>
      <c r="R32" s="7">
        <v>0</v>
      </c>
      <c r="T32" s="90">
        <f t="shared" si="2"/>
        <v>0.3</v>
      </c>
      <c r="U32" s="90">
        <f t="shared" si="3"/>
        <v>0.35</v>
      </c>
      <c r="V32" s="68">
        <f t="shared" si="1"/>
        <v>0.35</v>
      </c>
      <c r="W32" s="90">
        <f t="shared" si="4"/>
        <v>0</v>
      </c>
    </row>
    <row r="33" spans="1:23" x14ac:dyDescent="0.2">
      <c r="A33" s="17" t="s">
        <v>10</v>
      </c>
      <c r="B33" s="18">
        <v>26374</v>
      </c>
      <c r="C33" s="4">
        <v>46717</v>
      </c>
      <c r="D33" s="4">
        <v>46717</v>
      </c>
      <c r="E33" s="4">
        <v>105552</v>
      </c>
      <c r="F33" s="4">
        <v>26374</v>
      </c>
      <c r="G33" s="4">
        <f t="shared" si="0"/>
        <v>251734</v>
      </c>
      <c r="J33" s="7">
        <v>0.04</v>
      </c>
      <c r="K33" s="7">
        <v>0.11</v>
      </c>
      <c r="L33" s="7">
        <v>0.15</v>
      </c>
      <c r="M33" s="7">
        <v>0.15</v>
      </c>
      <c r="N33" s="7">
        <v>0.13</v>
      </c>
      <c r="O33" s="7">
        <v>0.1</v>
      </c>
      <c r="P33" s="7">
        <v>0.32</v>
      </c>
      <c r="Q33" s="7">
        <v>0</v>
      </c>
      <c r="R33" s="7">
        <v>0</v>
      </c>
      <c r="T33" s="90">
        <f t="shared" si="2"/>
        <v>0.3</v>
      </c>
      <c r="U33" s="90">
        <f t="shared" si="3"/>
        <v>0.28000000000000003</v>
      </c>
      <c r="V33" s="68">
        <f t="shared" si="1"/>
        <v>0.41999999999999993</v>
      </c>
      <c r="W33" s="90">
        <f t="shared" si="4"/>
        <v>0</v>
      </c>
    </row>
    <row r="34" spans="1:23" x14ac:dyDescent="0.2">
      <c r="A34" s="17" t="s">
        <v>11</v>
      </c>
      <c r="B34" s="18">
        <v>8308</v>
      </c>
      <c r="C34" s="4">
        <v>12004</v>
      </c>
      <c r="D34" s="4">
        <v>5303</v>
      </c>
      <c r="E34" s="4">
        <v>43855</v>
      </c>
      <c r="F34" s="4">
        <v>2895</v>
      </c>
      <c r="G34" s="4">
        <f t="shared" si="0"/>
        <v>72365</v>
      </c>
      <c r="J34" s="7">
        <v>0.06</v>
      </c>
      <c r="K34" s="7">
        <v>0.1</v>
      </c>
      <c r="L34" s="7">
        <v>0.13</v>
      </c>
      <c r="M34" s="7">
        <v>0.14000000000000001</v>
      </c>
      <c r="N34" s="7">
        <v>0.14000000000000001</v>
      </c>
      <c r="O34" s="7">
        <v>0.11</v>
      </c>
      <c r="P34" s="7">
        <v>0.32</v>
      </c>
      <c r="Q34" s="7">
        <v>0</v>
      </c>
      <c r="R34" s="7">
        <v>0</v>
      </c>
      <c r="T34" s="90">
        <f t="shared" si="2"/>
        <v>0.29000000000000004</v>
      </c>
      <c r="U34" s="90">
        <f t="shared" si="3"/>
        <v>0.28000000000000003</v>
      </c>
      <c r="V34" s="68">
        <f t="shared" si="1"/>
        <v>0.42999999999999994</v>
      </c>
      <c r="W34" s="90">
        <f t="shared" si="4"/>
        <v>0</v>
      </c>
    </row>
    <row r="35" spans="1:23" x14ac:dyDescent="0.2">
      <c r="A35" s="17" t="s">
        <v>12</v>
      </c>
      <c r="B35" s="18">
        <v>101984</v>
      </c>
      <c r="C35" s="4">
        <v>97516</v>
      </c>
      <c r="D35" s="4">
        <v>97516</v>
      </c>
      <c r="E35" s="4">
        <v>454068</v>
      </c>
      <c r="F35" s="4">
        <v>101984</v>
      </c>
      <c r="G35" s="4">
        <f t="shared" si="0"/>
        <v>853068</v>
      </c>
      <c r="J35" s="7">
        <v>0.05</v>
      </c>
      <c r="K35" s="7">
        <v>0.09</v>
      </c>
      <c r="L35" s="7">
        <v>0.12</v>
      </c>
      <c r="M35" s="7">
        <v>0.16</v>
      </c>
      <c r="N35" s="7">
        <v>0.14000000000000001</v>
      </c>
      <c r="O35" s="7">
        <v>0.09</v>
      </c>
      <c r="P35" s="7">
        <v>0.36</v>
      </c>
      <c r="Q35" s="7">
        <v>0</v>
      </c>
      <c r="R35" s="7">
        <v>0</v>
      </c>
      <c r="T35" s="90">
        <f t="shared" si="2"/>
        <v>0.26</v>
      </c>
      <c r="U35" s="90">
        <f t="shared" si="3"/>
        <v>0.30000000000000004</v>
      </c>
      <c r="V35" s="68">
        <f t="shared" si="1"/>
        <v>0.43999999999999995</v>
      </c>
      <c r="W35" s="90">
        <f t="shared" si="4"/>
        <v>0</v>
      </c>
    </row>
    <row r="36" spans="1:23" x14ac:dyDescent="0.2">
      <c r="A36" s="17" t="s">
        <v>13</v>
      </c>
      <c r="B36" s="18">
        <v>69639</v>
      </c>
      <c r="C36" s="4">
        <v>53004</v>
      </c>
      <c r="D36" s="4">
        <v>28191</v>
      </c>
      <c r="E36" s="4">
        <v>153224</v>
      </c>
      <c r="F36" s="4">
        <v>37927</v>
      </c>
      <c r="G36" s="4">
        <f t="shared" si="0"/>
        <v>341985</v>
      </c>
      <c r="J36" s="7">
        <v>0.04</v>
      </c>
      <c r="K36" s="7">
        <v>0.08</v>
      </c>
      <c r="L36" s="7">
        <v>0.1</v>
      </c>
      <c r="M36" s="7">
        <v>0.11</v>
      </c>
      <c r="N36" s="7">
        <v>0.13</v>
      </c>
      <c r="O36" s="7">
        <v>0.12</v>
      </c>
      <c r="P36" s="7">
        <v>0.42</v>
      </c>
      <c r="Q36" s="7">
        <v>0</v>
      </c>
      <c r="R36" s="7">
        <v>0</v>
      </c>
      <c r="T36" s="90">
        <f t="shared" si="2"/>
        <v>0.22</v>
      </c>
      <c r="U36" s="90">
        <f t="shared" si="3"/>
        <v>0.24</v>
      </c>
      <c r="V36" s="68">
        <f t="shared" si="1"/>
        <v>0.54</v>
      </c>
      <c r="W36" s="90">
        <f t="shared" si="4"/>
        <v>0</v>
      </c>
    </row>
    <row r="37" spans="1:23" x14ac:dyDescent="0.2">
      <c r="A37" s="17" t="s">
        <v>14</v>
      </c>
      <c r="B37" s="18">
        <v>2506</v>
      </c>
      <c r="C37" s="4">
        <v>3474</v>
      </c>
      <c r="D37" s="4">
        <v>2797</v>
      </c>
      <c r="E37" s="4">
        <v>1310</v>
      </c>
      <c r="F37" s="4">
        <v>1017</v>
      </c>
      <c r="G37" s="4">
        <f t="shared" si="0"/>
        <v>11104</v>
      </c>
      <c r="J37" s="7">
        <v>0.09</v>
      </c>
      <c r="K37" s="7">
        <v>0.14000000000000001</v>
      </c>
      <c r="L37" s="7">
        <v>0.16</v>
      </c>
      <c r="M37" s="7">
        <v>0.15</v>
      </c>
      <c r="N37" s="7">
        <v>0.15</v>
      </c>
      <c r="O37" s="7">
        <v>0.1</v>
      </c>
      <c r="P37" s="7">
        <v>0.2</v>
      </c>
      <c r="Q37" s="7">
        <v>0</v>
      </c>
      <c r="R37" s="7">
        <v>0</v>
      </c>
      <c r="T37" s="90">
        <f t="shared" si="2"/>
        <v>0.39</v>
      </c>
      <c r="U37" s="90">
        <f t="shared" si="3"/>
        <v>0.3</v>
      </c>
      <c r="V37" s="68">
        <f t="shared" si="1"/>
        <v>0.31</v>
      </c>
      <c r="W37" s="90">
        <f t="shared" si="4"/>
        <v>0</v>
      </c>
    </row>
    <row r="38" spans="1:23" x14ac:dyDescent="0.2">
      <c r="A38" s="17" t="s">
        <v>15</v>
      </c>
      <c r="B38" s="18">
        <v>70125</v>
      </c>
      <c r="C38" s="4">
        <v>62037</v>
      </c>
      <c r="D38" s="4">
        <v>34669</v>
      </c>
      <c r="E38" s="4">
        <v>80389</v>
      </c>
      <c r="F38" s="4">
        <v>50655</v>
      </c>
      <c r="G38" s="4">
        <f t="shared" si="0"/>
        <v>297875</v>
      </c>
      <c r="J38" s="7">
        <v>0.06</v>
      </c>
      <c r="K38" s="7">
        <v>0.11</v>
      </c>
      <c r="L38" s="7">
        <v>0.13</v>
      </c>
      <c r="M38" s="7">
        <v>0.14000000000000001</v>
      </c>
      <c r="N38" s="7">
        <v>0.14000000000000001</v>
      </c>
      <c r="O38" s="7">
        <v>0.11</v>
      </c>
      <c r="P38" s="7">
        <v>0.32</v>
      </c>
      <c r="Q38" s="7">
        <v>0</v>
      </c>
      <c r="R38" s="7">
        <v>0</v>
      </c>
      <c r="T38" s="90">
        <f t="shared" si="2"/>
        <v>0.3</v>
      </c>
      <c r="U38" s="90">
        <f t="shared" si="3"/>
        <v>0.28000000000000003</v>
      </c>
      <c r="V38" s="68">
        <f t="shared" si="1"/>
        <v>0.41999999999999993</v>
      </c>
      <c r="W38" s="90">
        <f t="shared" si="4"/>
        <v>0</v>
      </c>
    </row>
    <row r="39" spans="1:23" x14ac:dyDescent="0.2">
      <c r="A39" s="17" t="s">
        <v>16</v>
      </c>
      <c r="B39" s="18">
        <v>24910</v>
      </c>
      <c r="C39" s="4">
        <v>21762</v>
      </c>
      <c r="D39" s="4">
        <v>12305</v>
      </c>
      <c r="E39" s="4">
        <v>62943</v>
      </c>
      <c r="F39" s="4">
        <v>10630</v>
      </c>
      <c r="G39" s="4">
        <f t="shared" si="0"/>
        <v>132550</v>
      </c>
      <c r="J39" s="7">
        <v>7.0000000000000007E-2</v>
      </c>
      <c r="K39" s="7">
        <v>0.12</v>
      </c>
      <c r="L39" s="7">
        <v>0.15</v>
      </c>
      <c r="M39" s="7">
        <v>0.15</v>
      </c>
      <c r="N39" s="7">
        <v>0.13</v>
      </c>
      <c r="O39" s="7">
        <v>0.1</v>
      </c>
      <c r="P39" s="7">
        <v>0.27</v>
      </c>
      <c r="Q39" s="7">
        <v>0</v>
      </c>
      <c r="R39" s="7">
        <v>0</v>
      </c>
      <c r="T39" s="90">
        <f t="shared" si="2"/>
        <v>0.33999999999999997</v>
      </c>
      <c r="U39" s="90">
        <f t="shared" si="3"/>
        <v>0.28000000000000003</v>
      </c>
      <c r="V39" s="68">
        <f t="shared" si="1"/>
        <v>0.38</v>
      </c>
      <c r="W39" s="90">
        <f t="shared" si="4"/>
        <v>0</v>
      </c>
    </row>
    <row r="40" spans="1:23" x14ac:dyDescent="0.2">
      <c r="A40" s="17" t="s">
        <v>17</v>
      </c>
      <c r="B40" s="18">
        <v>19409</v>
      </c>
      <c r="C40" s="4">
        <v>19903</v>
      </c>
      <c r="D40" s="4">
        <v>11734</v>
      </c>
      <c r="E40" s="4">
        <v>22825</v>
      </c>
      <c r="F40" s="4">
        <v>11715</v>
      </c>
      <c r="G40" s="4">
        <f t="shared" si="0"/>
        <v>85586</v>
      </c>
      <c r="J40" s="7">
        <v>0.04</v>
      </c>
      <c r="K40" s="7">
        <v>0.08</v>
      </c>
      <c r="L40" s="7">
        <v>0.11</v>
      </c>
      <c r="M40" s="7">
        <v>0.12</v>
      </c>
      <c r="N40" s="7">
        <v>0.13</v>
      </c>
      <c r="O40" s="7">
        <v>0.11</v>
      </c>
      <c r="P40" s="7">
        <v>0.41</v>
      </c>
      <c r="Q40" s="7">
        <v>0.01</v>
      </c>
      <c r="R40" s="7">
        <v>0</v>
      </c>
      <c r="T40" s="90">
        <f t="shared" si="2"/>
        <v>0.22999999999999998</v>
      </c>
      <c r="U40" s="90">
        <f t="shared" si="3"/>
        <v>0.25</v>
      </c>
      <c r="V40" s="68">
        <f t="shared" si="1"/>
        <v>0.52</v>
      </c>
      <c r="W40" s="90">
        <f t="shared" si="4"/>
        <v>0</v>
      </c>
    </row>
    <row r="41" spans="1:23" x14ac:dyDescent="0.2">
      <c r="A41" s="17" t="s">
        <v>18</v>
      </c>
      <c r="B41" s="18">
        <v>55337</v>
      </c>
      <c r="C41" s="4">
        <v>61743</v>
      </c>
      <c r="D41" s="4">
        <v>50374</v>
      </c>
      <c r="E41" s="4">
        <v>220458</v>
      </c>
      <c r="F41" s="4">
        <v>46629</v>
      </c>
      <c r="G41" s="4">
        <f t="shared" si="0"/>
        <v>434541</v>
      </c>
      <c r="J41" s="7">
        <v>0.04</v>
      </c>
      <c r="K41" s="7">
        <v>0.09</v>
      </c>
      <c r="L41" s="7">
        <v>0.12</v>
      </c>
      <c r="M41" s="7">
        <v>0.13</v>
      </c>
      <c r="N41" s="7">
        <v>0.13</v>
      </c>
      <c r="O41" s="7">
        <v>0.11</v>
      </c>
      <c r="P41" s="7">
        <v>0.38</v>
      </c>
      <c r="Q41" s="7">
        <v>0</v>
      </c>
      <c r="R41" s="7">
        <v>0</v>
      </c>
      <c r="T41" s="90">
        <f t="shared" si="2"/>
        <v>0.25</v>
      </c>
      <c r="U41" s="90">
        <f t="shared" si="3"/>
        <v>0.26</v>
      </c>
      <c r="V41" s="68">
        <f t="shared" si="1"/>
        <v>0.49</v>
      </c>
      <c r="W41" s="90">
        <f t="shared" si="4"/>
        <v>0</v>
      </c>
    </row>
    <row r="42" spans="1:23" x14ac:dyDescent="0.2">
      <c r="A42" s="17" t="s">
        <v>19</v>
      </c>
      <c r="B42" s="18">
        <v>6634</v>
      </c>
      <c r="C42" s="4">
        <v>4921</v>
      </c>
      <c r="D42" s="4">
        <v>4520</v>
      </c>
      <c r="E42" s="4">
        <v>16423</v>
      </c>
      <c r="F42" s="4">
        <v>5321</v>
      </c>
      <c r="G42" s="4">
        <f t="shared" si="0"/>
        <v>37819</v>
      </c>
      <c r="J42" s="7">
        <v>0.04</v>
      </c>
      <c r="K42" s="7">
        <v>0.09</v>
      </c>
      <c r="L42" s="7">
        <v>0.11</v>
      </c>
      <c r="M42" s="7">
        <v>0.13</v>
      </c>
      <c r="N42" s="7">
        <v>0.13</v>
      </c>
      <c r="O42" s="7">
        <v>0.11</v>
      </c>
      <c r="P42" s="7">
        <v>0.39</v>
      </c>
      <c r="Q42" s="7">
        <v>0</v>
      </c>
      <c r="R42" s="7">
        <v>0</v>
      </c>
      <c r="T42" s="90">
        <f t="shared" si="2"/>
        <v>0.24</v>
      </c>
      <c r="U42" s="90">
        <f t="shared" si="3"/>
        <v>0.26</v>
      </c>
      <c r="V42" s="68">
        <f t="shared" si="1"/>
        <v>0.5</v>
      </c>
      <c r="W42" s="90">
        <f t="shared" si="4"/>
        <v>0</v>
      </c>
    </row>
    <row r="43" spans="1:23" x14ac:dyDescent="0.2">
      <c r="A43" s="17" t="s">
        <v>20</v>
      </c>
      <c r="B43" s="18">
        <v>9867</v>
      </c>
      <c r="C43" s="4">
        <v>24981</v>
      </c>
      <c r="D43" s="4">
        <v>10584</v>
      </c>
      <c r="E43" s="4">
        <v>39470</v>
      </c>
      <c r="F43" s="4">
        <v>4085</v>
      </c>
      <c r="G43" s="4">
        <f t="shared" si="0"/>
        <v>88987</v>
      </c>
      <c r="J43" s="7">
        <v>7.0000000000000007E-2</v>
      </c>
      <c r="K43" s="7">
        <v>0.14000000000000001</v>
      </c>
      <c r="L43" s="7">
        <v>0.17</v>
      </c>
      <c r="M43" s="7">
        <v>0.17</v>
      </c>
      <c r="N43" s="7">
        <v>0.13</v>
      </c>
      <c r="O43" s="7">
        <v>0.1</v>
      </c>
      <c r="P43" s="7">
        <v>0.22</v>
      </c>
      <c r="Q43" s="7">
        <v>0</v>
      </c>
      <c r="R43" s="7">
        <v>0</v>
      </c>
      <c r="T43" s="90">
        <f t="shared" si="2"/>
        <v>0.38</v>
      </c>
      <c r="U43" s="90">
        <f t="shared" si="3"/>
        <v>0.30000000000000004</v>
      </c>
      <c r="V43" s="68">
        <f t="shared" si="1"/>
        <v>0.31999999999999995</v>
      </c>
      <c r="W43" s="90">
        <f t="shared" si="4"/>
        <v>0</v>
      </c>
    </row>
    <row r="44" spans="1:23" x14ac:dyDescent="0.2">
      <c r="A44" s="17" t="s">
        <v>21</v>
      </c>
      <c r="B44" s="18">
        <v>1711</v>
      </c>
      <c r="C44" s="4">
        <v>4733</v>
      </c>
      <c r="D44" s="4">
        <v>3271</v>
      </c>
      <c r="E44" s="4">
        <v>4440</v>
      </c>
      <c r="F44" s="4">
        <v>803</v>
      </c>
      <c r="G44" s="4">
        <f t="shared" si="0"/>
        <v>14958</v>
      </c>
      <c r="J44" s="7">
        <v>7.0000000000000007E-2</v>
      </c>
      <c r="K44" s="7">
        <v>0.11</v>
      </c>
      <c r="L44" s="7">
        <v>0.13</v>
      </c>
      <c r="M44" s="7">
        <v>0.14000000000000001</v>
      </c>
      <c r="N44" s="7">
        <v>0.14000000000000001</v>
      </c>
      <c r="O44" s="7">
        <v>0.11</v>
      </c>
      <c r="P44" s="7">
        <v>0.28999999999999998</v>
      </c>
      <c r="Q44" s="7">
        <v>0</v>
      </c>
      <c r="R44" s="7">
        <v>0</v>
      </c>
      <c r="T44" s="90">
        <f t="shared" si="2"/>
        <v>0.31</v>
      </c>
      <c r="U44" s="90">
        <f t="shared" si="3"/>
        <v>0.28000000000000003</v>
      </c>
      <c r="V44" s="68">
        <f t="shared" si="1"/>
        <v>0.40999999999999992</v>
      </c>
      <c r="W44" s="90">
        <f t="shared" si="4"/>
        <v>0</v>
      </c>
    </row>
    <row r="45" spans="1:23" x14ac:dyDescent="0.2">
      <c r="A45" s="17" t="s">
        <v>22</v>
      </c>
      <c r="B45" s="18">
        <v>37702</v>
      </c>
      <c r="C45" s="4">
        <v>34442</v>
      </c>
      <c r="D45" s="4">
        <v>17460</v>
      </c>
      <c r="E45" s="4">
        <v>85114</v>
      </c>
      <c r="F45" s="4">
        <v>18976</v>
      </c>
      <c r="G45" s="4">
        <f t="shared" si="0"/>
        <v>193694</v>
      </c>
      <c r="J45" s="7">
        <v>0.06</v>
      </c>
      <c r="K45" s="7">
        <v>0.12</v>
      </c>
      <c r="L45" s="7">
        <v>0.14000000000000001</v>
      </c>
      <c r="M45" s="7">
        <v>0.15</v>
      </c>
      <c r="N45" s="7">
        <v>0.13</v>
      </c>
      <c r="O45" s="7">
        <v>0.1</v>
      </c>
      <c r="P45" s="7">
        <v>0.3</v>
      </c>
      <c r="Q45" s="7">
        <v>0</v>
      </c>
      <c r="R45" s="7">
        <v>0</v>
      </c>
      <c r="T45" s="90">
        <f t="shared" si="2"/>
        <v>0.32</v>
      </c>
      <c r="U45" s="90">
        <f t="shared" si="3"/>
        <v>0.28000000000000003</v>
      </c>
      <c r="V45" s="68">
        <f t="shared" si="1"/>
        <v>0.39999999999999991</v>
      </c>
      <c r="W45" s="90">
        <f t="shared" si="4"/>
        <v>0</v>
      </c>
    </row>
    <row r="46" spans="1:23" x14ac:dyDescent="0.2">
      <c r="A46" s="17" t="s">
        <v>23</v>
      </c>
      <c r="B46" s="18">
        <v>59844</v>
      </c>
      <c r="C46" s="4">
        <v>160358</v>
      </c>
      <c r="D46" s="4">
        <v>115076</v>
      </c>
      <c r="E46" s="4">
        <v>242102</v>
      </c>
      <c r="F46" s="4">
        <v>34681</v>
      </c>
      <c r="G46" s="4">
        <f t="shared" si="0"/>
        <v>612061</v>
      </c>
      <c r="J46" s="7">
        <v>0.06</v>
      </c>
      <c r="K46" s="7">
        <v>0.11</v>
      </c>
      <c r="L46" s="7">
        <v>0.14000000000000001</v>
      </c>
      <c r="M46" s="7">
        <v>0.15</v>
      </c>
      <c r="N46" s="7">
        <v>0.13</v>
      </c>
      <c r="O46" s="7">
        <v>0.1</v>
      </c>
      <c r="P46" s="7">
        <v>0.31</v>
      </c>
      <c r="Q46" s="7">
        <v>0</v>
      </c>
      <c r="R46" s="7">
        <v>0</v>
      </c>
      <c r="T46" s="90">
        <f t="shared" si="2"/>
        <v>0.31</v>
      </c>
      <c r="U46" s="90">
        <f t="shared" si="3"/>
        <v>0.28000000000000003</v>
      </c>
      <c r="V46" s="68">
        <f t="shared" si="1"/>
        <v>0.40999999999999992</v>
      </c>
      <c r="W46" s="90">
        <f t="shared" si="4"/>
        <v>0</v>
      </c>
    </row>
    <row r="47" spans="1:23" x14ac:dyDescent="0.2">
      <c r="A47" s="17" t="s">
        <v>24</v>
      </c>
      <c r="B47" s="18">
        <v>12592</v>
      </c>
      <c r="C47" s="4">
        <v>13623</v>
      </c>
      <c r="D47" s="4">
        <v>5567</v>
      </c>
      <c r="E47" s="4">
        <v>26683</v>
      </c>
      <c r="F47" s="4">
        <v>4475</v>
      </c>
      <c r="G47" s="4">
        <f t="shared" si="0"/>
        <v>62940</v>
      </c>
      <c r="J47" s="7">
        <v>0.04</v>
      </c>
      <c r="K47" s="7">
        <v>0.09</v>
      </c>
      <c r="L47" s="7">
        <v>0.11</v>
      </c>
      <c r="M47" s="7">
        <v>0.13</v>
      </c>
      <c r="N47" s="7">
        <v>0.13</v>
      </c>
      <c r="O47" s="7">
        <v>0.12</v>
      </c>
      <c r="P47" s="7">
        <v>0.38</v>
      </c>
      <c r="Q47" s="7">
        <v>0</v>
      </c>
      <c r="R47" s="7">
        <v>0</v>
      </c>
      <c r="T47" s="90">
        <f t="shared" si="2"/>
        <v>0.24</v>
      </c>
      <c r="U47" s="90">
        <f t="shared" si="3"/>
        <v>0.26</v>
      </c>
      <c r="V47" s="68">
        <f t="shared" si="1"/>
        <v>0.5</v>
      </c>
      <c r="W47" s="90">
        <f t="shared" si="4"/>
        <v>0</v>
      </c>
    </row>
    <row r="48" spans="1:23" x14ac:dyDescent="0.2">
      <c r="A48" s="17" t="s">
        <v>25</v>
      </c>
      <c r="B48" s="18">
        <v>3945</v>
      </c>
      <c r="C48" s="4">
        <v>2856</v>
      </c>
      <c r="D48" s="4">
        <v>2104</v>
      </c>
      <c r="E48" s="4">
        <v>12428</v>
      </c>
      <c r="F48" s="4">
        <v>4707</v>
      </c>
      <c r="G48" s="4">
        <f t="shared" si="0"/>
        <v>26040</v>
      </c>
      <c r="J48" s="7">
        <v>0.05</v>
      </c>
      <c r="K48" s="7">
        <v>0.1</v>
      </c>
      <c r="L48" s="7">
        <v>0.13</v>
      </c>
      <c r="M48" s="7">
        <v>0.15</v>
      </c>
      <c r="N48" s="7">
        <v>0.15</v>
      </c>
      <c r="O48" s="7">
        <v>0.11</v>
      </c>
      <c r="P48" s="7">
        <v>0.31</v>
      </c>
      <c r="Q48" s="7">
        <v>0</v>
      </c>
      <c r="R48" s="7">
        <v>0</v>
      </c>
      <c r="T48" s="90">
        <f t="shared" si="2"/>
        <v>0.28000000000000003</v>
      </c>
      <c r="U48" s="90">
        <f t="shared" si="3"/>
        <v>0.3</v>
      </c>
      <c r="V48" s="68">
        <f t="shared" si="1"/>
        <v>0.42</v>
      </c>
      <c r="W48" s="90">
        <f t="shared" si="4"/>
        <v>0</v>
      </c>
    </row>
    <row r="49" spans="1:23" x14ac:dyDescent="0.2">
      <c r="A49" s="17" t="s">
        <v>26</v>
      </c>
      <c r="B49" s="18">
        <v>21329</v>
      </c>
      <c r="C49" s="4">
        <v>42013</v>
      </c>
      <c r="D49" s="4">
        <v>42013</v>
      </c>
      <c r="E49" s="4">
        <v>50259</v>
      </c>
      <c r="F49" s="4">
        <v>21329</v>
      </c>
      <c r="G49" s="4">
        <f t="shared" si="0"/>
        <v>176943</v>
      </c>
      <c r="J49" s="7">
        <v>0.04</v>
      </c>
      <c r="K49" s="7">
        <v>0.11</v>
      </c>
      <c r="L49" s="7">
        <v>0.14000000000000001</v>
      </c>
      <c r="M49" s="7">
        <v>0.15</v>
      </c>
      <c r="N49" s="7">
        <v>0.12</v>
      </c>
      <c r="O49" s="7">
        <v>0.1</v>
      </c>
      <c r="P49" s="7">
        <v>0.33</v>
      </c>
      <c r="Q49" s="7">
        <v>0</v>
      </c>
      <c r="R49" s="7">
        <v>0</v>
      </c>
      <c r="T49" s="90">
        <f t="shared" si="2"/>
        <v>0.29000000000000004</v>
      </c>
      <c r="U49" s="90">
        <f t="shared" si="3"/>
        <v>0.27</v>
      </c>
      <c r="V49" s="68">
        <f t="shared" si="1"/>
        <v>0.43999999999999995</v>
      </c>
      <c r="W49" s="90">
        <f t="shared" si="4"/>
        <v>0</v>
      </c>
    </row>
    <row r="50" spans="1:23" x14ac:dyDescent="0.2">
      <c r="A50" s="17" t="s">
        <v>27</v>
      </c>
      <c r="B50" s="18">
        <v>41883</v>
      </c>
      <c r="C50" s="4">
        <v>36351</v>
      </c>
      <c r="D50" s="4">
        <v>36351</v>
      </c>
      <c r="E50" s="4">
        <v>115321</v>
      </c>
      <c r="F50" s="4">
        <v>38708</v>
      </c>
      <c r="G50" s="4">
        <f t="shared" si="0"/>
        <v>268614</v>
      </c>
      <c r="J50" s="7">
        <v>0.04</v>
      </c>
      <c r="K50" s="7">
        <v>0.09</v>
      </c>
      <c r="L50" s="7">
        <v>0.12</v>
      </c>
      <c r="M50" s="7">
        <v>0.14000000000000001</v>
      </c>
      <c r="N50" s="7">
        <v>0.14000000000000001</v>
      </c>
      <c r="O50" s="7">
        <v>0.11</v>
      </c>
      <c r="P50" s="7">
        <v>0.36</v>
      </c>
      <c r="Q50" s="7">
        <v>0</v>
      </c>
      <c r="R50" s="7">
        <v>0</v>
      </c>
      <c r="T50" s="90">
        <f t="shared" si="2"/>
        <v>0.25</v>
      </c>
      <c r="U50" s="90">
        <f t="shared" si="3"/>
        <v>0.28000000000000003</v>
      </c>
      <c r="V50" s="68">
        <f t="shared" si="1"/>
        <v>0.47</v>
      </c>
      <c r="W50" s="90">
        <f t="shared" si="4"/>
        <v>0</v>
      </c>
    </row>
    <row r="51" spans="1:23" x14ac:dyDescent="0.2">
      <c r="A51" s="17" t="s">
        <v>28</v>
      </c>
      <c r="B51" s="18">
        <v>8727</v>
      </c>
      <c r="C51" s="4">
        <v>8836</v>
      </c>
      <c r="D51" s="4">
        <v>7556</v>
      </c>
      <c r="E51" s="4">
        <v>14362</v>
      </c>
      <c r="F51" s="4">
        <v>2971</v>
      </c>
      <c r="G51" s="4">
        <f t="shared" si="0"/>
        <v>42452</v>
      </c>
      <c r="J51" s="7">
        <v>0.06</v>
      </c>
      <c r="K51" s="7">
        <v>0.1</v>
      </c>
      <c r="L51" s="7">
        <v>0.13</v>
      </c>
      <c r="M51" s="7">
        <v>0.14000000000000001</v>
      </c>
      <c r="N51" s="7">
        <v>0.13</v>
      </c>
      <c r="O51" s="7">
        <v>0.1</v>
      </c>
      <c r="P51" s="7">
        <v>0.35</v>
      </c>
      <c r="Q51" s="7">
        <v>0</v>
      </c>
      <c r="R51" s="7">
        <v>0</v>
      </c>
      <c r="T51" s="90">
        <f t="shared" si="2"/>
        <v>0.29000000000000004</v>
      </c>
      <c r="U51" s="90">
        <f t="shared" si="3"/>
        <v>0.27</v>
      </c>
      <c r="V51" s="68">
        <f t="shared" si="1"/>
        <v>0.43999999999999995</v>
      </c>
      <c r="W51" s="90">
        <f t="shared" si="4"/>
        <v>0</v>
      </c>
    </row>
    <row r="52" spans="1:23" x14ac:dyDescent="0.2">
      <c r="A52" s="17" t="s">
        <v>29</v>
      </c>
      <c r="B52" s="18">
        <v>24511</v>
      </c>
      <c r="C52" s="4">
        <v>30559</v>
      </c>
      <c r="D52" s="4">
        <v>19927</v>
      </c>
      <c r="E52" s="4">
        <v>98935</v>
      </c>
      <c r="F52" s="4">
        <v>16449</v>
      </c>
      <c r="G52" s="4">
        <f t="shared" si="0"/>
        <v>190381</v>
      </c>
      <c r="J52" s="7">
        <v>7.0000000000000007E-2</v>
      </c>
      <c r="K52" s="7">
        <v>0.11</v>
      </c>
      <c r="L52" s="7">
        <v>0.13</v>
      </c>
      <c r="M52" s="7">
        <v>0.14000000000000001</v>
      </c>
      <c r="N52" s="7">
        <v>0.13</v>
      </c>
      <c r="O52" s="7">
        <v>0.1</v>
      </c>
      <c r="P52" s="7">
        <v>0.32</v>
      </c>
      <c r="Q52" s="7">
        <v>0</v>
      </c>
      <c r="R52" s="7">
        <v>0</v>
      </c>
      <c r="T52" s="90">
        <f t="shared" si="2"/>
        <v>0.31</v>
      </c>
      <c r="U52" s="90">
        <f t="shared" si="3"/>
        <v>0.27</v>
      </c>
      <c r="V52" s="68">
        <f t="shared" si="1"/>
        <v>0.41999999999999993</v>
      </c>
      <c r="W52" s="90">
        <f t="shared" si="4"/>
        <v>0</v>
      </c>
    </row>
    <row r="53" spans="1:23" x14ac:dyDescent="0.2">
      <c r="A53" s="17" t="s">
        <v>30</v>
      </c>
      <c r="B53" s="18">
        <v>2815</v>
      </c>
      <c r="C53" s="4">
        <v>3183</v>
      </c>
      <c r="D53" s="4">
        <v>9165</v>
      </c>
      <c r="E53" s="4">
        <v>2982</v>
      </c>
      <c r="F53" s="4">
        <v>1554</v>
      </c>
      <c r="G53" s="4">
        <f t="shared" si="0"/>
        <v>19699</v>
      </c>
      <c r="J53" s="7">
        <v>7.0000000000000007E-2</v>
      </c>
      <c r="K53" s="7">
        <v>0.11</v>
      </c>
      <c r="L53" s="7">
        <v>0.14000000000000001</v>
      </c>
      <c r="M53" s="7">
        <v>0.16</v>
      </c>
      <c r="N53" s="7">
        <v>0.15</v>
      </c>
      <c r="O53" s="7">
        <v>0.11</v>
      </c>
      <c r="P53" s="7">
        <v>0.27</v>
      </c>
      <c r="Q53" s="7">
        <v>0</v>
      </c>
      <c r="R53" s="7">
        <v>0</v>
      </c>
      <c r="T53" s="90">
        <f t="shared" si="2"/>
        <v>0.32</v>
      </c>
      <c r="U53" s="90">
        <f t="shared" si="3"/>
        <v>0.31</v>
      </c>
      <c r="V53" s="68">
        <f t="shared" si="1"/>
        <v>0.36999999999999994</v>
      </c>
      <c r="W53" s="90">
        <f t="shared" si="4"/>
        <v>0</v>
      </c>
    </row>
    <row r="54" spans="1:23" x14ac:dyDescent="0.2">
      <c r="A54" s="17"/>
      <c r="B54" s="17"/>
    </row>
    <row r="55" spans="1:23" x14ac:dyDescent="0.2">
      <c r="A55" s="18" t="s">
        <v>32</v>
      </c>
      <c r="B55" s="4">
        <f>SUM(B4:B53)</f>
        <v>1162428</v>
      </c>
      <c r="C55" s="4">
        <f>SUM(C4:C53)</f>
        <v>1660256</v>
      </c>
      <c r="D55" s="4">
        <f t="shared" ref="D55:G55" si="5">SUM(D4:D53)</f>
        <v>1301307</v>
      </c>
      <c r="E55" s="4">
        <f t="shared" si="5"/>
        <v>3479175</v>
      </c>
      <c r="F55" s="4">
        <f t="shared" si="5"/>
        <v>966157</v>
      </c>
      <c r="G55" s="4">
        <f t="shared" si="5"/>
        <v>8569323</v>
      </c>
    </row>
    <row r="57" spans="1:23" x14ac:dyDescent="0.2">
      <c r="B57" s="6"/>
      <c r="D57" s="10" t="s">
        <v>85</v>
      </c>
      <c r="E57" s="4">
        <v>2805</v>
      </c>
    </row>
    <row r="58" spans="1:23" x14ac:dyDescent="0.2">
      <c r="D58" s="10" t="s">
        <v>86</v>
      </c>
      <c r="E58" s="4">
        <v>4236</v>
      </c>
    </row>
    <row r="59" spans="1:23" x14ac:dyDescent="0.2">
      <c r="E59" s="4">
        <v>1290</v>
      </c>
    </row>
    <row r="60" spans="1:23" x14ac:dyDescent="0.2">
      <c r="E60" s="4">
        <v>46358</v>
      </c>
    </row>
    <row r="61" spans="1:23" x14ac:dyDescent="0.2">
      <c r="E61" s="4">
        <v>1952</v>
      </c>
    </row>
    <row r="63" spans="1:23" x14ac:dyDescent="0.2">
      <c r="E63" s="4">
        <f>SUM(E55:E61)</f>
        <v>3535816</v>
      </c>
    </row>
  </sheetData>
  <phoneticPr fontId="8"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tabColor rgb="FF00B0F0"/>
  </sheetPr>
  <dimension ref="A1:K56"/>
  <sheetViews>
    <sheetView topLeftCell="A9" workbookViewId="0">
      <selection activeCell="A12" sqref="A12:XFD12"/>
    </sheetView>
  </sheetViews>
  <sheetFormatPr baseColWidth="10" defaultColWidth="8.83203125" defaultRowHeight="15" x14ac:dyDescent="0.2"/>
  <cols>
    <col min="1" max="1" width="20.83203125" customWidth="1"/>
    <col min="2" max="2" width="14.83203125" style="4" customWidth="1"/>
    <col min="3" max="3" width="13.5" style="4" customWidth="1"/>
    <col min="4" max="4" width="14" style="4" customWidth="1"/>
    <col min="6" max="9" width="15.6640625" customWidth="1"/>
    <col min="11" max="11" width="19.5" customWidth="1"/>
  </cols>
  <sheetData>
    <row r="1" spans="1:11" x14ac:dyDescent="0.2">
      <c r="A1" s="1" t="s">
        <v>38</v>
      </c>
    </row>
    <row r="2" spans="1:11" x14ac:dyDescent="0.2">
      <c r="A2" s="2" t="s">
        <v>104</v>
      </c>
      <c r="F2" t="s">
        <v>308</v>
      </c>
    </row>
    <row r="3" spans="1:11" s="8" customFormat="1" ht="26.25" customHeight="1" x14ac:dyDescent="0.2">
      <c r="B3" s="9" t="s">
        <v>105</v>
      </c>
      <c r="C3" s="9" t="s">
        <v>106</v>
      </c>
      <c r="D3" s="9" t="s">
        <v>39</v>
      </c>
      <c r="F3" s="94" t="s">
        <v>297</v>
      </c>
      <c r="G3" s="94" t="s">
        <v>298</v>
      </c>
      <c r="H3" s="94" t="s">
        <v>299</v>
      </c>
      <c r="I3" s="94" t="s">
        <v>300</v>
      </c>
    </row>
    <row r="4" spans="1:11" x14ac:dyDescent="0.2">
      <c r="A4" s="17" t="s">
        <v>109</v>
      </c>
      <c r="B4" s="4">
        <v>4703</v>
      </c>
      <c r="C4" s="4">
        <v>7143</v>
      </c>
      <c r="D4" s="4">
        <f>+B4+C4</f>
        <v>11846</v>
      </c>
      <c r="F4" s="6">
        <f>(+$B4*'Pop Data'!Z4)+($C4*'Title IV-E'!J4*0.01)</f>
        <v>2200.7292994327672</v>
      </c>
      <c r="G4" s="6">
        <f>(+$B4*'Pop Data'!AA4)+($C4*'Title IV-E'!K4*0.01)</f>
        <v>1311.8555988637556</v>
      </c>
      <c r="H4" s="6">
        <f>(+$B4*'Pop Data'!AB4)+($C4*'Title IV-E'!L4*0.01)</f>
        <v>3875.7963206902132</v>
      </c>
      <c r="I4" s="6">
        <f>(+$B4*'Pop Data'!AC4)+($C4*'Title IV-E'!M4*0.01)</f>
        <v>4457.6187810132642</v>
      </c>
      <c r="K4" s="6"/>
    </row>
    <row r="5" spans="1:11" x14ac:dyDescent="0.2">
      <c r="A5" s="17" t="s">
        <v>110</v>
      </c>
      <c r="B5" s="4">
        <v>269</v>
      </c>
      <c r="C5" s="4">
        <v>640</v>
      </c>
      <c r="D5" s="4">
        <f t="shared" ref="D5:D11" si="0">+B5+C5</f>
        <v>909</v>
      </c>
      <c r="F5" s="6">
        <f>(+$B5*'Pop Data'!Z5)+($C5*'Title IV-E'!J5*0.01)</f>
        <v>187.96752538749331</v>
      </c>
      <c r="G5" s="6">
        <f>(+$B5*'Pop Data'!AA5)+($C5*'Title IV-E'!K5*0.01)</f>
        <v>129.52734901122395</v>
      </c>
      <c r="H5" s="6">
        <f>(+$B5*'Pop Data'!AB5)+($C5*'Title IV-E'!L5*0.01)</f>
        <v>338.27627471940139</v>
      </c>
      <c r="I5" s="6">
        <f>(+$B5*'Pop Data'!AC5)+($C5*'Title IV-E'!M5*0.01)</f>
        <v>253.22885088188133</v>
      </c>
    </row>
    <row r="6" spans="1:11" x14ac:dyDescent="0.2">
      <c r="A6" s="17" t="s">
        <v>111</v>
      </c>
      <c r="B6" s="4">
        <v>5983</v>
      </c>
      <c r="C6" s="4">
        <v>8332</v>
      </c>
      <c r="D6" s="4">
        <f t="shared" si="0"/>
        <v>14315</v>
      </c>
      <c r="F6" s="6">
        <f>(+$B6*'Pop Data'!Z6)+($C6*'Title IV-E'!J6*0.01)</f>
        <v>3017.3371672570815</v>
      </c>
      <c r="G6" s="6">
        <f>(+$B6*'Pop Data'!AA6)+($C6*'Title IV-E'!K6*0.01)</f>
        <v>1829.9082465059405</v>
      </c>
      <c r="H6" s="6">
        <f>(+$B6*'Pop Data'!AB6)+($C6*'Title IV-E'!L6*0.01)</f>
        <v>5142.5699354010812</v>
      </c>
      <c r="I6" s="6">
        <f>(+$B6*'Pop Data'!AC6)+($C6*'Title IV-E'!M6*0.01)</f>
        <v>4325.1846508358967</v>
      </c>
    </row>
    <row r="7" spans="1:11" x14ac:dyDescent="0.2">
      <c r="A7" s="17" t="s">
        <v>112</v>
      </c>
      <c r="B7" s="4">
        <v>3080</v>
      </c>
      <c r="C7" s="4">
        <v>4294</v>
      </c>
      <c r="D7" s="4">
        <f t="shared" si="0"/>
        <v>7374</v>
      </c>
      <c r="F7" s="6">
        <f>(+$B7*'Pop Data'!Z7)+($C7*'Title IV-E'!J7*0.01)</f>
        <v>1541.4760169451711</v>
      </c>
      <c r="G7" s="6">
        <f>(+$B7*'Pop Data'!AA7)+($C7*'Title IV-E'!K7*0.01)</f>
        <v>896.50879515136853</v>
      </c>
      <c r="H7" s="6">
        <f>(+$B7*'Pop Data'!AB7)+($C7*'Title IV-E'!L7*0.01)</f>
        <v>2665.1864682640271</v>
      </c>
      <c r="I7" s="6">
        <f>(+$B7*'Pop Data'!AC7)+($C7*'Title IV-E'!M7*0.01)</f>
        <v>2270.8287196394331</v>
      </c>
    </row>
    <row r="8" spans="1:11" x14ac:dyDescent="0.2">
      <c r="A8" s="17" t="s">
        <v>113</v>
      </c>
      <c r="B8" s="4">
        <v>32501</v>
      </c>
      <c r="C8" s="4">
        <v>33774</v>
      </c>
      <c r="D8" s="4">
        <f t="shared" si="0"/>
        <v>66275</v>
      </c>
      <c r="F8" s="6">
        <f>(+$B8*'Pop Data'!Z8)+($C8*'Title IV-E'!J8*0.01)</f>
        <v>11924.553007365303</v>
      </c>
      <c r="G8" s="6">
        <f>(+$B8*'Pop Data'!AA8)+($C8*'Title IV-E'!K8*0.01)</f>
        <v>7180.732279196196</v>
      </c>
      <c r="H8" s="6">
        <f>(+$B8*'Pop Data'!AB8)+($C8*'Title IV-E'!L8*0.01)</f>
        <v>21823.755873877231</v>
      </c>
      <c r="I8" s="6">
        <f>(+$B8*'Pop Data'!AC8)+($C8*'Title IV-E'!M8*0.01)</f>
        <v>25345.958839561266</v>
      </c>
    </row>
    <row r="9" spans="1:11" x14ac:dyDescent="0.2">
      <c r="A9" s="17" t="s">
        <v>115</v>
      </c>
      <c r="B9" s="4">
        <v>4195</v>
      </c>
      <c r="C9" s="4">
        <v>3333</v>
      </c>
      <c r="D9" s="4">
        <f t="shared" si="0"/>
        <v>7528</v>
      </c>
      <c r="F9" s="6">
        <f>(+$B9*'Pop Data'!Z9)+($C9*'Title IV-E'!J9*0.01)</f>
        <v>1179.0528401163592</v>
      </c>
      <c r="G9" s="6">
        <f>(+$B9*'Pop Data'!AA9)+($C9*'Title IV-E'!K9*0.01)</f>
        <v>710.9024446245528</v>
      </c>
      <c r="H9" s="6">
        <f>(+$B9*'Pop Data'!AB9)+($C9*'Title IV-E'!L9*0.01)</f>
        <v>2371.9310529610398</v>
      </c>
      <c r="I9" s="6">
        <f>(+$B9*'Pop Data'!AC9)+($C9*'Title IV-E'!M9*0.01)</f>
        <v>3266.1136622980484</v>
      </c>
    </row>
    <row r="10" spans="1:11" x14ac:dyDescent="0.2">
      <c r="A10" s="17" t="s">
        <v>114</v>
      </c>
      <c r="B10" s="4">
        <v>2239</v>
      </c>
      <c r="C10" s="4">
        <v>2084</v>
      </c>
      <c r="D10" s="4">
        <f t="shared" si="0"/>
        <v>4323</v>
      </c>
      <c r="F10" s="6">
        <f>(+$B10*'Pop Data'!Z10)+($C10*'Title IV-E'!J10*0.01)</f>
        <v>682.00921259441657</v>
      </c>
      <c r="G10" s="6">
        <f>(+$B10*'Pop Data'!AA10)+($C10*'Title IV-E'!K10*0.01)</f>
        <v>403.57706572172424</v>
      </c>
      <c r="H10" s="6">
        <f>(+$B10*'Pop Data'!AB10)+($C10*'Title IV-E'!L10*0.01)</f>
        <v>1294.7422998898633</v>
      </c>
      <c r="I10" s="6">
        <f>(+$B10*'Pop Data'!AC10)+($C10*'Title IV-E'!M10*0.01)</f>
        <v>1942.6714217939962</v>
      </c>
    </row>
    <row r="11" spans="1:11" x14ac:dyDescent="0.2">
      <c r="A11" s="17" t="s">
        <v>42</v>
      </c>
      <c r="B11" s="4">
        <v>803</v>
      </c>
      <c r="C11" s="4">
        <v>929</v>
      </c>
      <c r="D11" s="4">
        <f t="shared" si="0"/>
        <v>1732</v>
      </c>
      <c r="F11" s="6">
        <f>(+$B11*'Pop Data'!Z11)+($C11*'Title IV-E'!J11*0.01)</f>
        <v>338.17896830041451</v>
      </c>
      <c r="G11" s="6">
        <f>(+$B11*'Pop Data'!AA11)+($C11*'Title IV-E'!K11*0.01)</f>
        <v>171.13523774689099</v>
      </c>
      <c r="H11" s="6">
        <f>(+$B11*'Pop Data'!AB11)+($C11*'Title IV-E'!L11*0.01)</f>
        <v>532.45687929773226</v>
      </c>
      <c r="I11" s="6">
        <f>(+$B11*'Pop Data'!AC11)+($C11*'Title IV-E'!M11*0.01)</f>
        <v>690.2289146549623</v>
      </c>
    </row>
    <row r="12" spans="1:11" x14ac:dyDescent="0.2">
      <c r="A12" s="17" t="s">
        <v>116</v>
      </c>
      <c r="B12" s="4">
        <v>15219</v>
      </c>
      <c r="C12" s="4">
        <v>16029</v>
      </c>
      <c r="D12" s="4">
        <f t="shared" ref="D12:D53" si="1">+B12+C12</f>
        <v>31248</v>
      </c>
      <c r="F12" s="6">
        <f>(+$B12*'Pop Data'!Z13)+($C12*'Title IV-E'!J13*0.01)</f>
        <v>6142.3105825510775</v>
      </c>
      <c r="G12" s="6">
        <f>(+$B12*'Pop Data'!AA13)+($C12*'Title IV-E'!K13*0.01)</f>
        <v>3801.8374236233121</v>
      </c>
      <c r="H12" s="6">
        <f>(+$B12*'Pop Data'!AB13)+($C12*'Title IV-E'!L13*0.01)</f>
        <v>11117.425730184226</v>
      </c>
      <c r="I12" s="6">
        <f>(+$B12*'Pop Data'!AC13)+($C12*'Title IV-E'!M13*0.01)</f>
        <v>10186.426263641384</v>
      </c>
    </row>
    <row r="13" spans="1:11" x14ac:dyDescent="0.2">
      <c r="A13" s="17" t="s">
        <v>117</v>
      </c>
      <c r="B13" s="4">
        <v>9876</v>
      </c>
      <c r="C13" s="4">
        <v>12165</v>
      </c>
      <c r="D13" s="4">
        <f t="shared" si="1"/>
        <v>22041</v>
      </c>
      <c r="F13" s="6">
        <f>(+$B13*'Pop Data'!Z14)+($C13*'Title IV-E'!J14*0.01)</f>
        <v>4449.5558778889217</v>
      </c>
      <c r="G13" s="6">
        <f>(+$B13*'Pop Data'!AA14)+($C13*'Title IV-E'!K14*0.01)</f>
        <v>2701.651439452693</v>
      </c>
      <c r="H13" s="6">
        <f>(+$B13*'Pop Data'!AB14)+($C13*'Title IV-E'!L14*0.01)</f>
        <v>8125.7814578513644</v>
      </c>
      <c r="I13" s="6">
        <f>(+$B13*'Pop Data'!AC14)+($C13*'Title IV-E'!M14*0.01)</f>
        <v>6764.0112248070209</v>
      </c>
    </row>
    <row r="14" spans="1:11" x14ac:dyDescent="0.2">
      <c r="A14" s="17" t="s">
        <v>118</v>
      </c>
      <c r="B14" s="4">
        <v>1154</v>
      </c>
      <c r="C14" s="4">
        <v>962</v>
      </c>
      <c r="D14" s="4">
        <f t="shared" si="1"/>
        <v>2116</v>
      </c>
      <c r="F14" s="6">
        <f>(+$B14*'Pop Data'!Z15)+($C14*'Title IV-E'!J15*0.01)</f>
        <v>384.39553585928638</v>
      </c>
      <c r="G14" s="6">
        <f>(+$B14*'Pop Data'!AA15)+($C14*'Title IV-E'!K15*0.01)</f>
        <v>273.76981070019588</v>
      </c>
      <c r="H14" s="6">
        <f>(+$B14*'Pop Data'!AB15)+($C14*'Title IV-E'!L15*0.01)</f>
        <v>764.1475705401208</v>
      </c>
      <c r="I14" s="6">
        <f>(+$B14*'Pop Data'!AC15)+($C14*'Title IV-E'!M15*0.01)</f>
        <v>693.68708290039694</v>
      </c>
    </row>
    <row r="15" spans="1:11" x14ac:dyDescent="0.2">
      <c r="A15" s="17" t="s">
        <v>119</v>
      </c>
      <c r="B15" s="4">
        <v>1754</v>
      </c>
      <c r="C15" s="4">
        <v>1317</v>
      </c>
      <c r="D15" s="4">
        <f t="shared" si="1"/>
        <v>3071</v>
      </c>
      <c r="F15" s="6">
        <f>(+$B15*'Pop Data'!Z16)+($C15*'Title IV-E'!J16*0.01)</f>
        <v>519.42397100420521</v>
      </c>
      <c r="G15" s="6">
        <f>(+$B15*'Pop Data'!AA16)+($C15*'Title IV-E'!K16*0.01)</f>
        <v>371.92197394474334</v>
      </c>
      <c r="H15" s="6">
        <f>(+$B15*'Pop Data'!AB16)+($C15*'Title IV-E'!L16*0.01)</f>
        <v>1077.1677009136556</v>
      </c>
      <c r="I15" s="6">
        <f>(+$B15*'Pop Data'!AC16)+($C15*'Title IV-E'!M16*0.01)</f>
        <v>1102.4863541373961</v>
      </c>
    </row>
    <row r="16" spans="1:11" x14ac:dyDescent="0.2">
      <c r="A16" s="17" t="s">
        <v>120</v>
      </c>
      <c r="B16" s="4">
        <v>11048</v>
      </c>
      <c r="C16" s="4">
        <v>14821</v>
      </c>
      <c r="D16" s="4">
        <f t="shared" si="1"/>
        <v>25869</v>
      </c>
      <c r="F16" s="6">
        <f>(+$B16*'Pop Data'!Z17)+($C16*'Title IV-E'!J17*0.01)</f>
        <v>4955.8726122161988</v>
      </c>
      <c r="G16" s="6">
        <f>(+$B16*'Pop Data'!AA17)+($C16*'Title IV-E'!K17*0.01)</f>
        <v>3214.9523014859783</v>
      </c>
      <c r="H16" s="6">
        <f>(+$B16*'Pop Data'!AB17)+($C16*'Title IV-E'!L17*0.01)</f>
        <v>9015.3696444177331</v>
      </c>
      <c r="I16" s="6">
        <f>(+$B16*'Pop Data'!AC17)+($C16*'Title IV-E'!M17*0.01)</f>
        <v>8682.8054418800912</v>
      </c>
    </row>
    <row r="17" spans="1:9" x14ac:dyDescent="0.2">
      <c r="A17" s="17" t="s">
        <v>121</v>
      </c>
      <c r="B17" s="4">
        <v>6266</v>
      </c>
      <c r="C17" s="4">
        <v>7151</v>
      </c>
      <c r="D17" s="4">
        <f t="shared" si="1"/>
        <v>13417</v>
      </c>
      <c r="F17" s="6">
        <f>(+$B17*'Pop Data'!Z18)+($C17*'Title IV-E'!J18*0.01)</f>
        <v>2245.5124207548761</v>
      </c>
      <c r="G17" s="6">
        <f>(+$B17*'Pop Data'!AA18)+($C17*'Title IV-E'!K18*0.01)</f>
        <v>1537.3778843866753</v>
      </c>
      <c r="H17" s="6">
        <f>(+$B17*'Pop Data'!AB18)+($C17*'Title IV-E'!L18*0.01)</f>
        <v>4400.6109603473533</v>
      </c>
      <c r="I17" s="6">
        <f>(+$B17*'Pop Data'!AC18)+($C17*'Title IV-E'!M18*0.01)</f>
        <v>5233.4987345110949</v>
      </c>
    </row>
    <row r="18" spans="1:9" x14ac:dyDescent="0.2">
      <c r="A18" s="17" t="s">
        <v>122</v>
      </c>
      <c r="B18" s="4">
        <v>2905</v>
      </c>
      <c r="C18" s="4">
        <v>2766</v>
      </c>
      <c r="D18" s="4">
        <f t="shared" si="1"/>
        <v>5671</v>
      </c>
      <c r="F18" s="6">
        <f>(+$B18*'Pop Data'!Z19)+($C18*'Title IV-E'!J19*0.01)</f>
        <v>1018.1892394464203</v>
      </c>
      <c r="G18" s="6">
        <f>(+$B18*'Pop Data'!AA19)+($C18*'Title IV-E'!K19*0.01)</f>
        <v>668.35324431730328</v>
      </c>
      <c r="H18" s="6">
        <f>(+$B18*'Pop Data'!AB19)+($C18*'Title IV-E'!L19*0.01)</f>
        <v>2029.0569651306632</v>
      </c>
      <c r="I18" s="6">
        <f>(+$B18*'Pop Data'!AC19)+($C18*'Title IV-E'!M19*0.01)</f>
        <v>1955.4005511056134</v>
      </c>
    </row>
    <row r="19" spans="1:9" x14ac:dyDescent="0.2">
      <c r="A19" s="17" t="s">
        <v>123</v>
      </c>
      <c r="B19" s="4">
        <v>2758</v>
      </c>
      <c r="C19" s="4">
        <v>2133</v>
      </c>
      <c r="D19" s="4">
        <f t="shared" si="1"/>
        <v>4891</v>
      </c>
      <c r="F19" s="6">
        <f>(+$B19*'Pop Data'!Z20)+($C19*'Title IV-E'!J20*0.01)</f>
        <v>853.50822396335639</v>
      </c>
      <c r="G19" s="6">
        <f>(+$B19*'Pop Data'!AA20)+($C19*'Title IV-E'!K20*0.01)</f>
        <v>560.60442890561933</v>
      </c>
      <c r="H19" s="6">
        <f>(+$B19*'Pop Data'!AB20)+($C19*'Title IV-E'!L20*0.01)</f>
        <v>1681.4114477519008</v>
      </c>
      <c r="I19" s="6">
        <f>(+$B19*'Pop Data'!AC20)+($C19*'Title IV-E'!M20*0.01)</f>
        <v>1795.4758993791238</v>
      </c>
    </row>
    <row r="20" spans="1:9" x14ac:dyDescent="0.2">
      <c r="A20" s="17" t="s">
        <v>124</v>
      </c>
      <c r="B20" s="4">
        <v>4235</v>
      </c>
      <c r="C20" s="4">
        <v>6372</v>
      </c>
      <c r="D20" s="4">
        <f t="shared" si="1"/>
        <v>10607</v>
      </c>
      <c r="F20" s="6">
        <f>(+$B20*'Pop Data'!Z21)+($C20*'Title IV-E'!J21*0.01)</f>
        <v>2070.5159876185699</v>
      </c>
      <c r="G20" s="6">
        <f>(+$B20*'Pop Data'!AA21)+($C20*'Title IV-E'!K21*0.01)</f>
        <v>1403.2082610442092</v>
      </c>
      <c r="H20" s="6">
        <f>(+$B20*'Pop Data'!AB21)+($C20*'Title IV-E'!L21*0.01)</f>
        <v>3771.2932593167134</v>
      </c>
      <c r="I20" s="6">
        <f>(+$B20*'Pop Data'!AC21)+($C20*'Title IV-E'!M21*0.01)</f>
        <v>3361.9824920205083</v>
      </c>
    </row>
    <row r="21" spans="1:9" x14ac:dyDescent="0.2">
      <c r="A21" s="17" t="s">
        <v>125</v>
      </c>
      <c r="B21" s="4">
        <v>4709</v>
      </c>
      <c r="C21" s="4">
        <v>7968</v>
      </c>
      <c r="D21" s="4">
        <f t="shared" si="1"/>
        <v>12677</v>
      </c>
      <c r="F21" s="6">
        <f>(+$B21*'Pop Data'!Z22)+($C21*'Title IV-E'!J22*0.01)</f>
        <v>3103.0756152197296</v>
      </c>
      <c r="G21" s="6">
        <f>(+$B21*'Pop Data'!AA22)+($C21*'Title IV-E'!K22*0.01)</f>
        <v>1635.4196288179062</v>
      </c>
      <c r="H21" s="6">
        <f>(+$B21*'Pop Data'!AB22)+($C21*'Title IV-E'!L22*0.01)</f>
        <v>4127.3261393963548</v>
      </c>
      <c r="I21" s="6">
        <f>(+$B21*'Pop Data'!AC22)+($C21*'Title IV-E'!M22*0.01)</f>
        <v>3811.1786165660087</v>
      </c>
    </row>
    <row r="22" spans="1:9" x14ac:dyDescent="0.2">
      <c r="A22" s="17" t="s">
        <v>0</v>
      </c>
      <c r="B22" s="4">
        <v>1129</v>
      </c>
      <c r="C22" s="4">
        <v>1576</v>
      </c>
      <c r="D22" s="4">
        <f t="shared" si="1"/>
        <v>2705</v>
      </c>
      <c r="F22" s="6">
        <f>(+$B22*'Pop Data'!Z23)+($C22*'Title IV-E'!J23*0.01)</f>
        <v>458.95206280696533</v>
      </c>
      <c r="G22" s="6">
        <f>(+$B22*'Pop Data'!AA23)+($C22*'Title IV-E'!K23*0.01)</f>
        <v>290.74862836731654</v>
      </c>
      <c r="H22" s="6">
        <f>(+$B22*'Pop Data'!AB23)+($C22*'Title IV-E'!L23*0.01)</f>
        <v>835.83435942848632</v>
      </c>
      <c r="I22" s="6">
        <f>(+$B22*'Pop Data'!AC23)+($C22*'Title IV-E'!M23*0.01)</f>
        <v>1119.464949397232</v>
      </c>
    </row>
    <row r="23" spans="1:9" x14ac:dyDescent="0.2">
      <c r="A23" s="17" t="s">
        <v>1</v>
      </c>
      <c r="B23" s="4">
        <v>4375</v>
      </c>
      <c r="C23" s="4">
        <v>4021</v>
      </c>
      <c r="D23" s="4">
        <f t="shared" si="1"/>
        <v>8396</v>
      </c>
      <c r="F23" s="6">
        <f>(+$B23*'Pop Data'!Z24)+($C23*'Title IV-E'!J24*0.01)</f>
        <v>1394.3957568279204</v>
      </c>
      <c r="G23" s="6">
        <f>(+$B23*'Pop Data'!AA24)+($C23*'Title IV-E'!K24*0.01)</f>
        <v>868.67542871312207</v>
      </c>
      <c r="H23" s="6">
        <f>(+$B23*'Pop Data'!AB24)+($C23*'Title IV-E'!L24*0.01)</f>
        <v>2689.2417155161033</v>
      </c>
      <c r="I23" s="6">
        <f>(+$B23*'Pop Data'!AC24)+($C23*'Title IV-E'!M24*0.01)</f>
        <v>3443.6870989428539</v>
      </c>
    </row>
    <row r="24" spans="1:9" x14ac:dyDescent="0.2">
      <c r="A24" s="17" t="s">
        <v>2</v>
      </c>
      <c r="B24" s="4">
        <v>4393</v>
      </c>
      <c r="C24" s="4">
        <v>5102</v>
      </c>
      <c r="D24" s="4">
        <f t="shared" si="1"/>
        <v>9495</v>
      </c>
      <c r="F24" s="6">
        <f>(+$B24*'Pop Data'!Z25)+($C24*'Title IV-E'!J25*0.01)</f>
        <v>1720.7735361621972</v>
      </c>
      <c r="G24" s="6">
        <f>(+$B24*'Pop Data'!AA25)+($C24*'Title IV-E'!K25*0.01)</f>
        <v>1047.9589106741896</v>
      </c>
      <c r="H24" s="6">
        <f>(+$B24*'Pop Data'!AB25)+($C24*'Title IV-E'!L25*0.01)</f>
        <v>3069.1678478783519</v>
      </c>
      <c r="I24" s="6">
        <f>(+$B24*'Pop Data'!AC25)+($C24*'Title IV-E'!M25*0.01)</f>
        <v>3657.0997052852622</v>
      </c>
    </row>
    <row r="25" spans="1:9" x14ac:dyDescent="0.2">
      <c r="A25" s="17" t="s">
        <v>3</v>
      </c>
      <c r="B25" s="4">
        <v>8695</v>
      </c>
      <c r="C25" s="4">
        <v>12899</v>
      </c>
      <c r="D25" s="4">
        <f t="shared" si="1"/>
        <v>21594</v>
      </c>
      <c r="F25" s="6">
        <f>(+$B25*'Pop Data'!Z26)+($C25*'Title IV-E'!J26*0.01)</f>
        <v>3712.4351261044958</v>
      </c>
      <c r="G25" s="6">
        <f>(+$B25*'Pop Data'!AA26)+($C25*'Title IV-E'!K26*0.01)</f>
        <v>2233.9794476001216</v>
      </c>
      <c r="H25" s="6">
        <f>(+$B25*'Pop Data'!AB26)+($C25*'Title IV-E'!L26*0.01)</f>
        <v>6719.1347996564655</v>
      </c>
      <c r="I25" s="6">
        <f>(+$B25*'Pop Data'!AC26)+($C25*'Title IV-E'!M26*0.01)</f>
        <v>8928.4506266389162</v>
      </c>
    </row>
    <row r="26" spans="1:9" x14ac:dyDescent="0.2">
      <c r="A26" s="17" t="s">
        <v>4</v>
      </c>
      <c r="B26" s="4">
        <v>4323</v>
      </c>
      <c r="C26" s="4">
        <v>3443</v>
      </c>
      <c r="D26" s="4">
        <f t="shared" si="1"/>
        <v>7766</v>
      </c>
      <c r="F26" s="6">
        <f>(+$B26*'Pop Data'!Z27)+($C26*'Title IV-E'!J27*0.01)</f>
        <v>1362.6979701757468</v>
      </c>
      <c r="G26" s="6">
        <f>(+$B26*'Pop Data'!AA27)+($C26*'Title IV-E'!K27*0.01)</f>
        <v>924.72619003049635</v>
      </c>
      <c r="H26" s="6">
        <f>(+$B26*'Pop Data'!AB27)+($C26*'Title IV-E'!L27*0.01)</f>
        <v>2776.8820003998212</v>
      </c>
      <c r="I26" s="6">
        <f>(+$B26*'Pop Data'!AC27)+($C26*'Title IV-E'!M27*0.01)</f>
        <v>2701.6938393939354</v>
      </c>
    </row>
    <row r="27" spans="1:9" x14ac:dyDescent="0.2">
      <c r="A27" s="17" t="s">
        <v>5</v>
      </c>
      <c r="B27" s="4">
        <v>3380</v>
      </c>
      <c r="C27" s="4">
        <v>5234</v>
      </c>
      <c r="D27" s="4">
        <f t="shared" si="1"/>
        <v>8614</v>
      </c>
      <c r="F27" s="6">
        <f>(+$B27*'Pop Data'!Z28)+($C27*'Title IV-E'!J28*0.01)</f>
        <v>1629.3828926058532</v>
      </c>
      <c r="G27" s="6">
        <f>(+$B27*'Pop Data'!AA28)+($C27*'Title IV-E'!K28*0.01)</f>
        <v>1047.8162641657314</v>
      </c>
      <c r="H27" s="6">
        <f>(+$B27*'Pop Data'!AB28)+($C27*'Title IV-E'!L28*0.01)</f>
        <v>3049.694891358949</v>
      </c>
      <c r="I27" s="6">
        <f>(+$B27*'Pop Data'!AC28)+($C27*'Title IV-E'!M28*0.01)</f>
        <v>2887.1059518694674</v>
      </c>
    </row>
    <row r="28" spans="1:9" x14ac:dyDescent="0.2">
      <c r="A28" s="17" t="s">
        <v>6</v>
      </c>
      <c r="B28" s="4">
        <v>5575</v>
      </c>
      <c r="C28" s="4">
        <v>9850</v>
      </c>
      <c r="D28" s="4">
        <f t="shared" si="1"/>
        <v>15425</v>
      </c>
      <c r="F28" s="6">
        <f>(+$B28*'Pop Data'!Z29)+($C28*'Title IV-E'!J29*0.01)</f>
        <v>3383.221263176863</v>
      </c>
      <c r="G28" s="6">
        <f>(+$B28*'Pop Data'!AA29)+($C28*'Title IV-E'!K29*0.01)</f>
        <v>2186.3819893684113</v>
      </c>
      <c r="H28" s="6">
        <f>(+$B28*'Pop Data'!AB29)+($C28*'Title IV-E'!L29*0.01)</f>
        <v>5836.2850977565549</v>
      </c>
      <c r="I28" s="6">
        <f>(+$B28*'Pop Data'!AC29)+($C28*'Title IV-E'!M29*0.01)</f>
        <v>4019.1116496981704</v>
      </c>
    </row>
    <row r="29" spans="1:9" x14ac:dyDescent="0.2">
      <c r="A29" s="17" t="s">
        <v>7</v>
      </c>
      <c r="B29" s="4">
        <v>697</v>
      </c>
      <c r="C29" s="4">
        <v>862</v>
      </c>
      <c r="D29" s="4">
        <f t="shared" si="1"/>
        <v>1559</v>
      </c>
      <c r="F29" s="6">
        <f>(+$B29*'Pop Data'!Z30)+($C29*'Title IV-E'!J30*0.01)</f>
        <v>245.77276932704655</v>
      </c>
      <c r="G29" s="6">
        <f>(+$B29*'Pop Data'!AA30)+($C29*'Title IV-E'!K30*0.01)</f>
        <v>168.6694000496326</v>
      </c>
      <c r="H29" s="6">
        <f>(+$B29*'Pop Data'!AB30)+($C29*'Title IV-E'!L30*0.01)</f>
        <v>517.4755300870728</v>
      </c>
      <c r="I29" s="6">
        <f>(+$B29*'Pop Data'!AC30)+($C29*'Title IV-E'!M30*0.01)</f>
        <v>627.082300536248</v>
      </c>
    </row>
    <row r="30" spans="1:9" x14ac:dyDescent="0.2">
      <c r="A30" s="17" t="s">
        <v>8</v>
      </c>
      <c r="B30" s="22">
        <v>1737</v>
      </c>
      <c r="C30" s="4">
        <v>1462</v>
      </c>
      <c r="D30" s="4">
        <f t="shared" si="1"/>
        <v>3199</v>
      </c>
      <c r="F30" s="6">
        <f>(+$B30*'Pop Data'!Z31)+($C30*'Title IV-E'!J31*0.01)</f>
        <v>666.94973598178376</v>
      </c>
      <c r="G30" s="6">
        <f>(+$B30*'Pop Data'!AA31)+($C30*'Title IV-E'!K31*0.01)</f>
        <v>426.90038121531143</v>
      </c>
      <c r="H30" s="6">
        <f>(+$B30*'Pop Data'!AB31)+($C30*'Title IV-E'!L31*0.01)</f>
        <v>1164.4544036902694</v>
      </c>
      <c r="I30" s="6">
        <f>(+$B30*'Pop Data'!AC31)+($C30*'Title IV-E'!M31*0.01)</f>
        <v>940.69547911263555</v>
      </c>
    </row>
    <row r="31" spans="1:9" x14ac:dyDescent="0.2">
      <c r="A31" s="17" t="s">
        <v>92</v>
      </c>
      <c r="B31" s="4">
        <v>2464</v>
      </c>
      <c r="C31" s="4">
        <v>4777</v>
      </c>
      <c r="D31" s="4">
        <f t="shared" si="1"/>
        <v>7241</v>
      </c>
      <c r="F31" s="6">
        <f>(+$B31*'Pop Data'!Z32)+($C31*'Title IV-E'!J32*0.01)</f>
        <v>1206.1952641536895</v>
      </c>
      <c r="G31" s="6">
        <f>(+$B31*'Pop Data'!AA32)+($C31*'Title IV-E'!K32*0.01)</f>
        <v>827.74163498762914</v>
      </c>
      <c r="H31" s="6">
        <f>(+$B31*'Pop Data'!AB32)+($C31*'Title IV-E'!L32*0.01)</f>
        <v>2085.1066480861591</v>
      </c>
      <c r="I31" s="6">
        <f>(+$B31*'Pop Data'!AC32)+($C31*'Title IV-E'!M32*0.01)</f>
        <v>3121.9564527725215</v>
      </c>
    </row>
    <row r="32" spans="1:9" x14ac:dyDescent="0.2">
      <c r="A32" s="17" t="s">
        <v>9</v>
      </c>
      <c r="B32" s="4">
        <v>1072</v>
      </c>
      <c r="C32" s="4">
        <v>661</v>
      </c>
      <c r="D32" s="4">
        <f t="shared" si="1"/>
        <v>1733</v>
      </c>
      <c r="F32" s="6">
        <f>(+$B32*'Pop Data'!Z33)+($C32*'Title IV-E'!J33*0.01)</f>
        <v>358.93285992783206</v>
      </c>
      <c r="G32" s="6">
        <f>(+$B32*'Pop Data'!AA33)+($C32*'Title IV-E'!K33*0.01)</f>
        <v>210.3836224052302</v>
      </c>
      <c r="H32" s="6">
        <f>(+$B32*'Pop Data'!AB33)+($C32*'Title IV-E'!L33*0.01)</f>
        <v>610.48030207107831</v>
      </c>
      <c r="I32" s="6">
        <f>(+$B32*'Pop Data'!AC33)+($C32*'Title IV-E'!M33*0.01)</f>
        <v>553.20321559585943</v>
      </c>
    </row>
    <row r="33" spans="1:9" x14ac:dyDescent="0.2">
      <c r="A33" s="17" t="s">
        <v>10</v>
      </c>
      <c r="B33" s="4">
        <v>5952</v>
      </c>
      <c r="C33" s="4">
        <v>4964</v>
      </c>
      <c r="D33" s="4">
        <f t="shared" si="1"/>
        <v>10916</v>
      </c>
      <c r="F33" s="6">
        <f>(+$B33*'Pop Data'!Z34)+($C33*'Title IV-E'!J34*0.01)</f>
        <v>2082.5720671329323</v>
      </c>
      <c r="G33" s="6">
        <f>(+$B33*'Pop Data'!AA34)+($C33*'Title IV-E'!K34*0.01)</f>
        <v>1419.7572423868969</v>
      </c>
      <c r="H33" s="6">
        <f>(+$B33*'Pop Data'!AB34)+($C33*'Title IV-E'!L34*0.01)</f>
        <v>4373.119388105948</v>
      </c>
      <c r="I33" s="6">
        <f>(+$B33*'Pop Data'!AC34)+($C33*'Title IV-E'!M34*0.01)</f>
        <v>3040.5513023742233</v>
      </c>
    </row>
    <row r="34" spans="1:9" x14ac:dyDescent="0.2">
      <c r="A34" s="17" t="s">
        <v>11</v>
      </c>
      <c r="B34" s="4">
        <v>1589</v>
      </c>
      <c r="C34" s="4">
        <v>3123</v>
      </c>
      <c r="D34" s="4">
        <f t="shared" si="1"/>
        <v>4712</v>
      </c>
      <c r="F34" s="6">
        <f>(+$B34*'Pop Data'!Z35)+($C34*'Title IV-E'!J35*0.01)</f>
        <v>755.15787581072595</v>
      </c>
      <c r="G34" s="6">
        <f>(+$B34*'Pop Data'!AA35)+($C34*'Title IV-E'!K35*0.01)</f>
        <v>519.97251342644438</v>
      </c>
      <c r="H34" s="6">
        <f>(+$B34*'Pop Data'!AB35)+($C34*'Title IV-E'!L35*0.01)</f>
        <v>1444.2064800844632</v>
      </c>
      <c r="I34" s="6">
        <f>(+$B34*'Pop Data'!AC35)+($C34*'Title IV-E'!M35*0.01)</f>
        <v>1992.6631306783661</v>
      </c>
    </row>
    <row r="35" spans="1:9" x14ac:dyDescent="0.2">
      <c r="A35" s="17" t="s">
        <v>12</v>
      </c>
      <c r="B35" s="4">
        <v>14513</v>
      </c>
      <c r="C35" s="4">
        <v>18860</v>
      </c>
      <c r="D35" s="4">
        <f t="shared" si="1"/>
        <v>33373</v>
      </c>
      <c r="F35" s="6">
        <f>(+$B35*'Pop Data'!Z36)+($C35*'Title IV-E'!J36*0.01)</f>
        <v>6372.940148207239</v>
      </c>
      <c r="G35" s="6">
        <f>(+$B35*'Pop Data'!AA36)+($C35*'Title IV-E'!K36*0.01)</f>
        <v>4219.509322011364</v>
      </c>
      <c r="H35" s="6">
        <f>(+$B35*'Pop Data'!AB36)+($C35*'Title IV-E'!L36*0.01)</f>
        <v>11519.077984420048</v>
      </c>
      <c r="I35" s="6">
        <f>(+$B35*'Pop Data'!AC36)+($C35*'Title IV-E'!M36*0.01)</f>
        <v>11261.472545361352</v>
      </c>
    </row>
    <row r="36" spans="1:9" x14ac:dyDescent="0.2">
      <c r="A36" s="17" t="s">
        <v>13</v>
      </c>
      <c r="B36" s="4">
        <v>8980</v>
      </c>
      <c r="C36" s="4">
        <v>11353</v>
      </c>
      <c r="D36" s="4">
        <f t="shared" si="1"/>
        <v>20333</v>
      </c>
      <c r="F36" s="6">
        <f>(+$B36*'Pop Data'!Z37)+($C36*'Title IV-E'!J37*0.01)</f>
        <v>3381.3707309324227</v>
      </c>
      <c r="G36" s="6">
        <f>(+$B36*'Pop Data'!AA37)+($C36*'Title IV-E'!K37*0.01)</f>
        <v>2328.0005474490326</v>
      </c>
      <c r="H36" s="6">
        <f>(+$B36*'Pop Data'!AB37)+($C36*'Title IV-E'!L37*0.01)</f>
        <v>6622.0794184000824</v>
      </c>
      <c r="I36" s="6">
        <f>(+$B36*'Pop Data'!AC37)+($C36*'Title IV-E'!M37*0.01)</f>
        <v>8001.5493032184622</v>
      </c>
    </row>
    <row r="37" spans="1:9" x14ac:dyDescent="0.2">
      <c r="A37" s="17" t="s">
        <v>14</v>
      </c>
      <c r="B37" s="4">
        <v>513</v>
      </c>
      <c r="C37" s="4">
        <v>518</v>
      </c>
      <c r="D37" s="4">
        <f t="shared" si="1"/>
        <v>1031</v>
      </c>
      <c r="F37" s="6">
        <f>(+$B37*'Pop Data'!Z38)+($C37*'Title IV-E'!J38*0.01)</f>
        <v>199.02146269551008</v>
      </c>
      <c r="G37" s="6">
        <f>(+$B37*'Pop Data'!AA38)+($C37*'Title IV-E'!K38*0.01)</f>
        <v>118.17633956107241</v>
      </c>
      <c r="H37" s="6">
        <f>(+$B37*'Pop Data'!AB38)+($C37*'Title IV-E'!L38*0.01)</f>
        <v>336.18481304994526</v>
      </c>
      <c r="I37" s="6">
        <f>(+$B37*'Pop Data'!AC38)+($C37*'Title IV-E'!M38*0.01)</f>
        <v>377.61738469347222</v>
      </c>
    </row>
    <row r="38" spans="1:9" x14ac:dyDescent="0.2">
      <c r="A38" s="17" t="s">
        <v>15</v>
      </c>
      <c r="B38" s="4">
        <v>10382</v>
      </c>
      <c r="C38" s="4">
        <v>12938</v>
      </c>
      <c r="D38" s="4">
        <f t="shared" si="1"/>
        <v>23320</v>
      </c>
      <c r="F38" s="6">
        <f>(+$B38*'Pop Data'!Z39)+($C38*'Title IV-E'!J39*0.01)</f>
        <v>5012.9521625773577</v>
      </c>
      <c r="G38" s="6">
        <f>(+$B38*'Pop Data'!AA39)+($C38*'Title IV-E'!K39*0.01)</f>
        <v>3257.699645750899</v>
      </c>
      <c r="H38" s="6">
        <f>(+$B38*'Pop Data'!AB39)+($C38*'Title IV-E'!L39*0.01)</f>
        <v>8906.6461704398407</v>
      </c>
      <c r="I38" s="6">
        <f>(+$B38*'Pop Data'!AC39)+($C38*'Title IV-E'!M39*0.01)</f>
        <v>6142.7020212319021</v>
      </c>
    </row>
    <row r="39" spans="1:9" x14ac:dyDescent="0.2">
      <c r="A39" s="17" t="s">
        <v>16</v>
      </c>
      <c r="B39" s="4">
        <v>1514</v>
      </c>
      <c r="C39" s="4">
        <v>4829</v>
      </c>
      <c r="D39" s="4">
        <f t="shared" si="1"/>
        <v>6343</v>
      </c>
      <c r="F39" s="6">
        <f>(+$B39*'Pop Data'!Z40)+($C39*'Title IV-E'!J40*0.01)</f>
        <v>1192.4397150346726</v>
      </c>
      <c r="G39" s="6">
        <f>(+$B39*'Pop Data'!AA40)+($C39*'Title IV-E'!K40*0.01)</f>
        <v>814.998800479652</v>
      </c>
      <c r="H39" s="6">
        <f>(+$B39*'Pop Data'!AB40)+($C39*'Title IV-E'!L40*0.01)</f>
        <v>2162.1502287828366</v>
      </c>
      <c r="I39" s="6">
        <f>(+$B39*'Pop Data'!AC40)+($C39*'Title IV-E'!M40*0.01)</f>
        <v>2173.4112557028384</v>
      </c>
    </row>
    <row r="40" spans="1:9" x14ac:dyDescent="0.2">
      <c r="A40" s="17" t="s">
        <v>17</v>
      </c>
      <c r="B40" s="4">
        <v>1724</v>
      </c>
      <c r="C40" s="4">
        <v>4528</v>
      </c>
      <c r="D40" s="4">
        <f t="shared" si="1"/>
        <v>6252</v>
      </c>
      <c r="F40" s="6">
        <f>(+$B40*'Pop Data'!Z41)+($C40*'Title IV-E'!J41*0.01)</f>
        <v>1107.1808282877989</v>
      </c>
      <c r="G40" s="6">
        <f>(+$B40*'Pop Data'!AA41)+($C40*'Title IV-E'!K41*0.01)</f>
        <v>636.23569544416159</v>
      </c>
      <c r="H40" s="6">
        <f>(+$B40*'Pop Data'!AB41)+($C40*'Title IV-E'!L41*0.01)</f>
        <v>1731.891345976069</v>
      </c>
      <c r="I40" s="6">
        <f>(+$B40*'Pop Data'!AC41)+($C40*'Title IV-E'!M41*0.01)</f>
        <v>2776.6921302919709</v>
      </c>
    </row>
    <row r="41" spans="1:9" x14ac:dyDescent="0.2">
      <c r="A41" s="17" t="s">
        <v>18</v>
      </c>
      <c r="B41" s="4">
        <v>10368</v>
      </c>
      <c r="C41" s="4">
        <v>12105</v>
      </c>
      <c r="D41" s="4">
        <f t="shared" si="1"/>
        <v>22473</v>
      </c>
      <c r="F41" s="6">
        <f>(+$B41*'Pop Data'!Z42)+($C41*'Title IV-E'!J42*0.01)</f>
        <v>4026.962060478395</v>
      </c>
      <c r="G41" s="6">
        <f>(+$B41*'Pop Data'!AA42)+($C41*'Title IV-E'!K42*0.01)</f>
        <v>2157.2791445162006</v>
      </c>
      <c r="H41" s="6">
        <f>(+$B41*'Pop Data'!AB42)+($C41*'Title IV-E'!L42*0.01)</f>
        <v>6603.7271301865358</v>
      </c>
      <c r="I41" s="6">
        <f>(+$B41*'Pop Data'!AC42)+($C41*'Title IV-E'!M42*0.01)</f>
        <v>9685.0316648188673</v>
      </c>
    </row>
    <row r="42" spans="1:9" x14ac:dyDescent="0.2">
      <c r="A42" s="17" t="s">
        <v>19</v>
      </c>
      <c r="B42" s="4">
        <v>926</v>
      </c>
      <c r="C42" s="4">
        <v>936</v>
      </c>
      <c r="D42" s="4">
        <f t="shared" si="1"/>
        <v>1862</v>
      </c>
      <c r="F42" s="6">
        <f>(+$B42*'Pop Data'!Z43)+($C42*'Title IV-E'!J43*0.01)</f>
        <v>322.59880232202875</v>
      </c>
      <c r="G42" s="6">
        <f>(+$B42*'Pop Data'!AA43)+($C42*'Title IV-E'!K43*0.01)</f>
        <v>207.63643437120982</v>
      </c>
      <c r="H42" s="6">
        <f>(+$B42*'Pop Data'!AB43)+($C42*'Title IV-E'!L43*0.01)</f>
        <v>650.61703924672952</v>
      </c>
      <c r="I42" s="6">
        <f>(+$B42*'Pop Data'!AC43)+($C42*'Title IV-E'!M43*0.01)</f>
        <v>681.14772406003203</v>
      </c>
    </row>
    <row r="43" spans="1:9" x14ac:dyDescent="0.2">
      <c r="A43" s="17" t="s">
        <v>20</v>
      </c>
      <c r="B43" s="4">
        <v>4544</v>
      </c>
      <c r="C43" s="4">
        <v>6647</v>
      </c>
      <c r="D43" s="4">
        <f t="shared" si="1"/>
        <v>11191</v>
      </c>
      <c r="F43" s="6">
        <f>(+$B43*'Pop Data'!Z44)+($C43*'Title IV-E'!J44*0.01)</f>
        <v>2037.8272305149164</v>
      </c>
      <c r="G43" s="6">
        <f>(+$B43*'Pop Data'!AA44)+($C43*'Title IV-E'!K44*0.01)</f>
        <v>1513.1687544191332</v>
      </c>
      <c r="H43" s="6">
        <f>(+$B43*'Pop Data'!AB44)+($C43*'Title IV-E'!L44*0.01)</f>
        <v>4181.2617268488357</v>
      </c>
      <c r="I43" s="6">
        <f>(+$B43*'Pop Data'!AC44)+($C43*'Title IV-E'!M44*0.01)</f>
        <v>3458.742288217114</v>
      </c>
    </row>
    <row r="44" spans="1:9" x14ac:dyDescent="0.2">
      <c r="A44" s="17" t="s">
        <v>21</v>
      </c>
      <c r="B44" s="4">
        <v>505</v>
      </c>
      <c r="C44" s="4">
        <v>760</v>
      </c>
      <c r="D44" s="4">
        <f t="shared" si="1"/>
        <v>1265</v>
      </c>
      <c r="F44" s="6">
        <f>(+$B44*'Pop Data'!Z45)+($C44*'Title IV-E'!J45*0.01)</f>
        <v>222.15913468128855</v>
      </c>
      <c r="G44" s="6">
        <f>(+$B44*'Pop Data'!AA45)+($C44*'Title IV-E'!K45*0.01)</f>
        <v>134.03086210589447</v>
      </c>
      <c r="H44" s="6">
        <f>(+$B44*'Pop Data'!AB45)+($C44*'Title IV-E'!L45*0.01)</f>
        <v>399.76209205256174</v>
      </c>
      <c r="I44" s="6">
        <f>(+$B44*'Pop Data'!AC45)+($C44*'Title IV-E'!M45*0.01)</f>
        <v>509.04791116025535</v>
      </c>
    </row>
    <row r="45" spans="1:9" x14ac:dyDescent="0.2">
      <c r="A45" s="17" t="s">
        <v>22</v>
      </c>
      <c r="B45" s="4">
        <v>5893</v>
      </c>
      <c r="C45" s="4">
        <v>9700</v>
      </c>
      <c r="D45" s="4">
        <f t="shared" si="1"/>
        <v>15593</v>
      </c>
      <c r="F45" s="6">
        <f>(+$B45*'Pop Data'!Z46)+($C45*'Title IV-E'!J46*0.01)</f>
        <v>3371.934486179432</v>
      </c>
      <c r="G45" s="6">
        <f>(+$B45*'Pop Data'!AA46)+($C45*'Title IV-E'!K46*0.01)</f>
        <v>2078.2823110097734</v>
      </c>
      <c r="H45" s="6">
        <f>(+$B45*'Pop Data'!AB46)+($C45*'Title IV-E'!L46*0.01)</f>
        <v>5651.2839971976791</v>
      </c>
      <c r="I45" s="6">
        <f>(+$B45*'Pop Data'!AC46)+($C45*'Title IV-E'!M46*0.01)</f>
        <v>4491.4992056131159</v>
      </c>
    </row>
    <row r="46" spans="1:9" x14ac:dyDescent="0.2">
      <c r="A46" s="17" t="s">
        <v>23</v>
      </c>
      <c r="B46" s="4">
        <v>25769</v>
      </c>
      <c r="C46" s="4">
        <v>35267</v>
      </c>
      <c r="D46" s="4">
        <f t="shared" si="1"/>
        <v>61036</v>
      </c>
      <c r="F46" s="6">
        <f>(+$B46*'Pop Data'!Z47)+($C46*'Title IV-E'!J47*0.01)</f>
        <v>9356.0322525485026</v>
      </c>
      <c r="G46" s="6">
        <f>(+$B46*'Pop Data'!AA47)+($C46*'Title IV-E'!K47*0.01)</f>
        <v>6520.277969746794</v>
      </c>
      <c r="H46" s="6">
        <f>(+$B46*'Pop Data'!AB47)+($C46*'Title IV-E'!L47*0.01)</f>
        <v>19227.167737915159</v>
      </c>
      <c r="I46" s="6">
        <f>(+$B46*'Pop Data'!AC47)+($C46*'Title IV-E'!M47*0.01)</f>
        <v>25932.522039789546</v>
      </c>
    </row>
    <row r="47" spans="1:9" x14ac:dyDescent="0.2">
      <c r="A47" s="17" t="s">
        <v>24</v>
      </c>
      <c r="B47" s="4">
        <v>3591</v>
      </c>
      <c r="C47" s="4">
        <v>1828</v>
      </c>
      <c r="D47" s="4">
        <f t="shared" si="1"/>
        <v>5419</v>
      </c>
      <c r="F47" s="6">
        <f>(+$B47*'Pop Data'!Z48)+($C47*'Title IV-E'!J48*0.01)</f>
        <v>790.52058290776199</v>
      </c>
      <c r="G47" s="6">
        <f>(+$B47*'Pop Data'!AA48)+($C47*'Title IV-E'!K48*0.01)</f>
        <v>521.45914417794131</v>
      </c>
      <c r="H47" s="6">
        <f>(+$B47*'Pop Data'!AB48)+($C47*'Title IV-E'!L48*0.01)</f>
        <v>1800.8215874337441</v>
      </c>
      <c r="I47" s="6">
        <f>(+$B47*'Pop Data'!AC48)+($C47*'Title IV-E'!M48*0.01)</f>
        <v>2306.1986854805527</v>
      </c>
    </row>
    <row r="48" spans="1:9" x14ac:dyDescent="0.2">
      <c r="A48" s="17" t="s">
        <v>25</v>
      </c>
      <c r="B48" s="4">
        <v>576</v>
      </c>
      <c r="C48" s="4">
        <v>529</v>
      </c>
      <c r="D48" s="4">
        <f t="shared" si="1"/>
        <v>1105</v>
      </c>
      <c r="F48" s="6">
        <f>(+$B48*'Pop Data'!Z49)+($C48*'Title IV-E'!J49*0.01)</f>
        <v>174.82736903287866</v>
      </c>
      <c r="G48" s="6">
        <f>(+$B48*'Pop Data'!AA49)+($C48*'Title IV-E'!K49*0.01)</f>
        <v>115.51219992599923</v>
      </c>
      <c r="H48" s="6">
        <f>(+$B48*'Pop Data'!AB49)+($C48*'Title IV-E'!L49*0.01)</f>
        <v>373.50136842913139</v>
      </c>
      <c r="I48" s="6">
        <f>(+$B48*'Pop Data'!AC49)+($C48*'Title IV-E'!M49*0.01)</f>
        <v>441.15906261199081</v>
      </c>
    </row>
    <row r="49" spans="1:9" x14ac:dyDescent="0.2">
      <c r="A49" s="17" t="s">
        <v>26</v>
      </c>
      <c r="B49" s="4">
        <v>6536</v>
      </c>
      <c r="C49" s="4">
        <v>6152</v>
      </c>
      <c r="D49" s="4">
        <f t="shared" si="1"/>
        <v>12688</v>
      </c>
      <c r="F49" s="6">
        <f>(+$B49*'Pop Data'!Z50)+($C49*'Title IV-E'!J50*0.01)</f>
        <v>2731.6527263520316</v>
      </c>
      <c r="G49" s="6">
        <f>(+$B49*'Pop Data'!AA50)+($C49*'Title IV-E'!K50*0.01)</f>
        <v>1667.3498089133718</v>
      </c>
      <c r="H49" s="6">
        <f>(+$B49*'Pop Data'!AB50)+($C49*'Title IV-E'!L50*0.01)</f>
        <v>4453.0435251812814</v>
      </c>
      <c r="I49" s="6">
        <f>(+$B49*'Pop Data'!AC50)+($C49*'Title IV-E'!M50*0.01)</f>
        <v>3835.9539395533152</v>
      </c>
    </row>
    <row r="50" spans="1:9" x14ac:dyDescent="0.2">
      <c r="A50" s="17" t="s">
        <v>27</v>
      </c>
      <c r="B50" s="4">
        <v>5402</v>
      </c>
      <c r="C50" s="4">
        <v>6278</v>
      </c>
      <c r="D50" s="4">
        <f t="shared" si="1"/>
        <v>11680</v>
      </c>
      <c r="F50" s="6">
        <f>(+$B50*'Pop Data'!Z51)+($C50*'Title IV-E'!J51*0.01)</f>
        <v>2071.0148182459689</v>
      </c>
      <c r="G50" s="6">
        <f>(+$B50*'Pop Data'!AA51)+($C50*'Title IV-E'!K51*0.01)</f>
        <v>1306.1491491064758</v>
      </c>
      <c r="H50" s="6">
        <f>(+$B50*'Pop Data'!AB51)+($C50*'Title IV-E'!L51*0.01)</f>
        <v>3880.2700556190616</v>
      </c>
      <c r="I50" s="6">
        <f>(+$B50*'Pop Data'!AC51)+($C50*'Title IV-E'!M51*0.01)</f>
        <v>4422.5659770284947</v>
      </c>
    </row>
    <row r="51" spans="1:9" x14ac:dyDescent="0.2">
      <c r="A51" s="17" t="s">
        <v>28</v>
      </c>
      <c r="B51" s="4">
        <v>1747</v>
      </c>
      <c r="C51" s="4">
        <v>2635</v>
      </c>
      <c r="D51" s="4">
        <f t="shared" si="1"/>
        <v>4382</v>
      </c>
      <c r="F51" s="6">
        <f>(+$B51*'Pop Data'!Z52)+($C51*'Title IV-E'!J52*0.01)</f>
        <v>771.05594419064983</v>
      </c>
      <c r="G51" s="6">
        <f>(+$B51*'Pop Data'!AA52)+($C51*'Title IV-E'!K52*0.01)</f>
        <v>536.99302021848007</v>
      </c>
      <c r="H51" s="6">
        <f>(+$B51*'Pop Data'!AB52)+($C51*'Title IV-E'!L52*0.01)</f>
        <v>1496.6306389438939</v>
      </c>
      <c r="I51" s="6">
        <f>(+$B51*'Pop Data'!AC52)+($C51*'Title IV-E'!M52*0.01)</f>
        <v>1577.320396646976</v>
      </c>
    </row>
    <row r="52" spans="1:9" x14ac:dyDescent="0.2">
      <c r="A52" s="17" t="s">
        <v>29</v>
      </c>
      <c r="B52" s="4">
        <v>4863</v>
      </c>
      <c r="C52" s="4">
        <v>5318</v>
      </c>
      <c r="D52" s="4">
        <f t="shared" si="1"/>
        <v>10181</v>
      </c>
      <c r="F52" s="6">
        <f>(+$B52*'Pop Data'!Z53)+($C52*'Title IV-E'!J53*0.01)</f>
        <v>1592.8741188279578</v>
      </c>
      <c r="G52" s="6">
        <f>(+$B52*'Pop Data'!AA53)+($C52*'Title IV-E'!K53*0.01)</f>
        <v>1132.403928555613</v>
      </c>
      <c r="H52" s="6">
        <f>(+$B52*'Pop Data'!AB53)+($C52*'Title IV-E'!L53*0.01)</f>
        <v>3445.3785457229319</v>
      </c>
      <c r="I52" s="6">
        <f>(+$B52*'Pop Data'!AC53)+($C52*'Title IV-E'!M53*0.01)</f>
        <v>4010.3434068934976</v>
      </c>
    </row>
    <row r="53" spans="1:9" x14ac:dyDescent="0.2">
      <c r="A53" s="17" t="s">
        <v>30</v>
      </c>
      <c r="B53" s="4">
        <v>488</v>
      </c>
      <c r="C53" s="4">
        <v>273</v>
      </c>
      <c r="D53" s="4">
        <f t="shared" si="1"/>
        <v>761</v>
      </c>
      <c r="F53" s="6">
        <f>(+$B53*'Pop Data'!Z54)+($C53*'Title IV-E'!J54*0.01)</f>
        <v>0</v>
      </c>
      <c r="G53" s="6">
        <f>(+$B53*'Pop Data'!AA54)+($C53*'Title IV-E'!K54*0.01)</f>
        <v>0</v>
      </c>
      <c r="H53" s="6">
        <f>(+$B53*'Pop Data'!AB54)+($C53*'Title IV-E'!L54*0.01)</f>
        <v>0</v>
      </c>
      <c r="I53" s="6">
        <f>(+$B53*'Pop Data'!AC54)+($C53*'Title IV-E'!M54*0.01)</f>
        <v>0</v>
      </c>
    </row>
    <row r="54" spans="1:9" x14ac:dyDescent="0.2">
      <c r="A54" s="17"/>
      <c r="F54" s="4"/>
      <c r="G54" s="4"/>
      <c r="H54" s="4"/>
      <c r="I54" s="4"/>
    </row>
    <row r="55" spans="1:9" x14ac:dyDescent="0.2">
      <c r="A55" s="18" t="s">
        <v>32</v>
      </c>
      <c r="B55" s="4">
        <f>SUM(B4:B53)</f>
        <v>267912</v>
      </c>
      <c r="C55" s="4">
        <f t="shared" ref="C55" si="2">SUM(C4:C53)</f>
        <v>331641</v>
      </c>
      <c r="D55" s="4">
        <f>SUM(D4:D53)</f>
        <v>599553</v>
      </c>
    </row>
    <row r="56" spans="1:9" x14ac:dyDescent="0.2">
      <c r="I56" s="6"/>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tabColor rgb="FF00B0F0"/>
  </sheetPr>
  <dimension ref="A1:F61"/>
  <sheetViews>
    <sheetView zoomScale="85" zoomScaleNormal="85" zoomScalePageLayoutView="85" workbookViewId="0">
      <selection activeCell="A32" sqref="A32"/>
    </sheetView>
  </sheetViews>
  <sheetFormatPr baseColWidth="10" defaultColWidth="8.83203125" defaultRowHeight="15" x14ac:dyDescent="0.2"/>
  <cols>
    <col min="1" max="1" width="19.6640625" customWidth="1"/>
    <col min="2" max="3" width="12.83203125" style="4" customWidth="1"/>
    <col min="4" max="4" width="11.5" style="4" customWidth="1"/>
    <col min="5" max="5" width="12.33203125" customWidth="1"/>
  </cols>
  <sheetData>
    <row r="1" spans="1:6" x14ac:dyDescent="0.2">
      <c r="A1" s="1" t="s">
        <v>38</v>
      </c>
    </row>
    <row r="2" spans="1:6" x14ac:dyDescent="0.2">
      <c r="A2" s="2" t="s">
        <v>104</v>
      </c>
    </row>
    <row r="3" spans="1:6" s="3" customFormat="1" ht="45" x14ac:dyDescent="0.2">
      <c r="B3" s="5" t="s">
        <v>73</v>
      </c>
      <c r="C3" s="5" t="s">
        <v>75</v>
      </c>
      <c r="D3" s="5" t="s">
        <v>74</v>
      </c>
      <c r="E3" s="3" t="s">
        <v>39</v>
      </c>
    </row>
    <row r="4" spans="1:6" x14ac:dyDescent="0.2">
      <c r="A4" s="17" t="s">
        <v>109</v>
      </c>
      <c r="B4" s="4">
        <v>41145</v>
      </c>
      <c r="C4" s="4">
        <v>4872</v>
      </c>
      <c r="D4" s="4">
        <v>66341</v>
      </c>
      <c r="E4" s="6">
        <f>SUM(B4:D4)</f>
        <v>112358</v>
      </c>
      <c r="F4" s="6"/>
    </row>
    <row r="5" spans="1:6" x14ac:dyDescent="0.2">
      <c r="A5" s="17" t="s">
        <v>110</v>
      </c>
      <c r="B5" s="4">
        <v>17398</v>
      </c>
      <c r="C5" s="4">
        <v>1827</v>
      </c>
      <c r="D5" s="4">
        <v>28140</v>
      </c>
      <c r="E5" s="6">
        <f t="shared" ref="E5:E61" si="0">SUM(B5:D5)</f>
        <v>47365</v>
      </c>
    </row>
    <row r="6" spans="1:6" x14ac:dyDescent="0.2">
      <c r="A6" s="17" t="s">
        <v>111</v>
      </c>
      <c r="B6" s="4">
        <v>37479</v>
      </c>
      <c r="C6" s="4">
        <v>6526</v>
      </c>
      <c r="D6" s="4">
        <v>62405</v>
      </c>
      <c r="E6" s="6">
        <f t="shared" si="0"/>
        <v>106410</v>
      </c>
    </row>
    <row r="7" spans="1:6" x14ac:dyDescent="0.2">
      <c r="A7" s="17" t="s">
        <v>112</v>
      </c>
      <c r="B7" s="4">
        <v>27531</v>
      </c>
      <c r="C7" s="4">
        <v>5059</v>
      </c>
      <c r="D7" s="4">
        <v>51256</v>
      </c>
      <c r="E7" s="6">
        <f t="shared" si="0"/>
        <v>83846</v>
      </c>
    </row>
    <row r="8" spans="1:6" x14ac:dyDescent="0.2">
      <c r="A8" s="17" t="s">
        <v>113</v>
      </c>
      <c r="B8" s="4">
        <v>589799</v>
      </c>
      <c r="C8" s="4">
        <v>39128</v>
      </c>
      <c r="D8" s="4">
        <v>932704</v>
      </c>
      <c r="E8" s="6">
        <f t="shared" si="0"/>
        <v>1561631</v>
      </c>
    </row>
    <row r="9" spans="1:6" x14ac:dyDescent="0.2">
      <c r="A9" s="17" t="s">
        <v>115</v>
      </c>
      <c r="B9" s="4">
        <v>47868</v>
      </c>
      <c r="C9" s="4">
        <v>5220</v>
      </c>
      <c r="D9" s="4">
        <v>77828</v>
      </c>
      <c r="E9" s="6">
        <f t="shared" si="0"/>
        <v>130916</v>
      </c>
    </row>
    <row r="10" spans="1:6" x14ac:dyDescent="0.2">
      <c r="A10" s="17" t="s">
        <v>114</v>
      </c>
      <c r="B10" s="4">
        <v>43057</v>
      </c>
      <c r="C10" s="4">
        <v>5036</v>
      </c>
      <c r="D10" s="4">
        <v>69638</v>
      </c>
      <c r="E10" s="6">
        <f t="shared" si="0"/>
        <v>117731</v>
      </c>
    </row>
    <row r="11" spans="1:6" x14ac:dyDescent="0.2">
      <c r="A11" s="17" t="s">
        <v>42</v>
      </c>
      <c r="B11" s="4">
        <v>30653</v>
      </c>
      <c r="C11" s="4">
        <v>1045</v>
      </c>
      <c r="D11" s="4">
        <v>47357</v>
      </c>
      <c r="E11" s="6">
        <f t="shared" si="0"/>
        <v>79055</v>
      </c>
    </row>
    <row r="12" spans="1:6" x14ac:dyDescent="0.2">
      <c r="A12" s="17" t="s">
        <v>116</v>
      </c>
      <c r="B12" s="4">
        <v>156893</v>
      </c>
      <c r="C12" s="4">
        <v>30800</v>
      </c>
      <c r="D12" s="4">
        <v>270555</v>
      </c>
      <c r="E12" s="6">
        <f t="shared" si="0"/>
        <v>458248</v>
      </c>
    </row>
    <row r="13" spans="1:6" x14ac:dyDescent="0.2">
      <c r="A13" s="17" t="s">
        <v>117</v>
      </c>
      <c r="B13" s="4">
        <v>55696</v>
      </c>
      <c r="C13" s="4">
        <v>14414</v>
      </c>
      <c r="D13" s="4">
        <v>104847</v>
      </c>
      <c r="E13" s="6">
        <f t="shared" si="0"/>
        <v>174957</v>
      </c>
    </row>
    <row r="14" spans="1:6" x14ac:dyDescent="0.2">
      <c r="A14" s="17" t="s">
        <v>118</v>
      </c>
      <c r="B14" s="4">
        <v>11978</v>
      </c>
      <c r="C14" s="4">
        <v>1669</v>
      </c>
      <c r="D14" s="4">
        <v>19049</v>
      </c>
      <c r="E14" s="6">
        <f t="shared" si="0"/>
        <v>32696</v>
      </c>
    </row>
    <row r="15" spans="1:6" x14ac:dyDescent="0.2">
      <c r="A15" s="17" t="s">
        <v>119</v>
      </c>
      <c r="B15" s="4">
        <v>13198</v>
      </c>
      <c r="C15" s="4">
        <v>2922</v>
      </c>
      <c r="D15" s="4">
        <v>22825</v>
      </c>
      <c r="E15" s="6">
        <f t="shared" si="0"/>
        <v>38945</v>
      </c>
    </row>
    <row r="16" spans="1:6" x14ac:dyDescent="0.2">
      <c r="A16" s="17" t="s">
        <v>120</v>
      </c>
      <c r="B16" s="4">
        <v>121874</v>
      </c>
      <c r="C16" s="4">
        <v>15303</v>
      </c>
      <c r="D16" s="4">
        <v>199085</v>
      </c>
      <c r="E16" s="6">
        <f t="shared" si="0"/>
        <v>336262</v>
      </c>
    </row>
    <row r="17" spans="1:5" x14ac:dyDescent="0.2">
      <c r="A17" s="17" t="s">
        <v>121</v>
      </c>
      <c r="B17" s="4">
        <v>60094</v>
      </c>
      <c r="C17" s="4">
        <v>12030</v>
      </c>
      <c r="D17" s="4">
        <v>98517</v>
      </c>
      <c r="E17" s="6">
        <f t="shared" si="0"/>
        <v>170641</v>
      </c>
    </row>
    <row r="18" spans="1:5" x14ac:dyDescent="0.2">
      <c r="A18" s="17" t="s">
        <v>122</v>
      </c>
      <c r="B18" s="4">
        <v>31125</v>
      </c>
      <c r="C18" s="4">
        <v>7260</v>
      </c>
      <c r="D18" s="4">
        <v>55760</v>
      </c>
      <c r="E18" s="6">
        <f t="shared" si="0"/>
        <v>94145</v>
      </c>
    </row>
    <row r="19" spans="1:5" x14ac:dyDescent="0.2">
      <c r="A19" s="17" t="s">
        <v>123</v>
      </c>
      <c r="B19" s="4">
        <v>34242</v>
      </c>
      <c r="C19" s="4">
        <v>4221</v>
      </c>
      <c r="D19" s="4">
        <v>55383</v>
      </c>
      <c r="E19" s="6">
        <f t="shared" si="0"/>
        <v>93846</v>
      </c>
    </row>
    <row r="20" spans="1:5" x14ac:dyDescent="0.2">
      <c r="A20" s="17" t="s">
        <v>124</v>
      </c>
      <c r="B20" s="4">
        <v>37564</v>
      </c>
      <c r="C20" s="4">
        <v>7726</v>
      </c>
      <c r="D20" s="4">
        <v>69560</v>
      </c>
      <c r="E20" s="6">
        <f t="shared" si="0"/>
        <v>114850</v>
      </c>
    </row>
    <row r="21" spans="1:5" x14ac:dyDescent="0.2">
      <c r="A21" s="17" t="s">
        <v>125</v>
      </c>
      <c r="B21" s="4">
        <v>46770</v>
      </c>
      <c r="C21" s="4">
        <v>8215</v>
      </c>
      <c r="D21" s="4">
        <v>78441</v>
      </c>
      <c r="E21" s="6">
        <f t="shared" si="0"/>
        <v>133426</v>
      </c>
    </row>
    <row r="22" spans="1:5" x14ac:dyDescent="0.2">
      <c r="A22" s="17" t="s">
        <v>0</v>
      </c>
      <c r="B22" s="4">
        <v>16178</v>
      </c>
      <c r="C22" s="4">
        <v>1986</v>
      </c>
      <c r="D22" s="4">
        <v>28152</v>
      </c>
      <c r="E22" s="6">
        <f t="shared" si="0"/>
        <v>46316</v>
      </c>
    </row>
    <row r="23" spans="1:5" x14ac:dyDescent="0.2">
      <c r="A23" s="17" t="s">
        <v>1</v>
      </c>
      <c r="B23" s="4">
        <v>79189</v>
      </c>
      <c r="C23" s="4">
        <v>7639</v>
      </c>
      <c r="D23" s="4">
        <v>132918</v>
      </c>
      <c r="E23" s="6">
        <f t="shared" si="0"/>
        <v>219746</v>
      </c>
    </row>
    <row r="24" spans="1:5" x14ac:dyDescent="0.2">
      <c r="A24" s="17" t="s">
        <v>2</v>
      </c>
      <c r="B24" s="4">
        <v>59908</v>
      </c>
      <c r="C24" s="4">
        <v>10739</v>
      </c>
      <c r="D24" s="4">
        <v>106996</v>
      </c>
      <c r="E24" s="6">
        <f t="shared" si="0"/>
        <v>177643</v>
      </c>
    </row>
    <row r="25" spans="1:5" x14ac:dyDescent="0.2">
      <c r="A25" s="17" t="s">
        <v>3</v>
      </c>
      <c r="B25" s="4">
        <v>134049</v>
      </c>
      <c r="C25" s="4">
        <v>25738</v>
      </c>
      <c r="D25" s="4">
        <v>227005</v>
      </c>
      <c r="E25" s="6">
        <f t="shared" si="0"/>
        <v>386792</v>
      </c>
    </row>
    <row r="26" spans="1:5" x14ac:dyDescent="0.2">
      <c r="A26" s="17" t="s">
        <v>4</v>
      </c>
      <c r="B26" s="4">
        <v>105703</v>
      </c>
      <c r="C26" s="4">
        <v>11974</v>
      </c>
      <c r="D26" s="4">
        <v>172249</v>
      </c>
      <c r="E26" s="6">
        <f t="shared" si="0"/>
        <v>289926</v>
      </c>
    </row>
    <row r="27" spans="1:5" x14ac:dyDescent="0.2">
      <c r="A27" s="17" t="s">
        <v>5</v>
      </c>
      <c r="B27" s="4">
        <v>20211</v>
      </c>
      <c r="C27" s="4">
        <v>3109</v>
      </c>
      <c r="D27" s="4">
        <v>30622</v>
      </c>
      <c r="E27" s="6">
        <f t="shared" si="0"/>
        <v>53942</v>
      </c>
    </row>
    <row r="28" spans="1:5" x14ac:dyDescent="0.2">
      <c r="A28" s="17" t="s">
        <v>6</v>
      </c>
      <c r="B28" s="4">
        <v>46503</v>
      </c>
      <c r="C28" s="4">
        <v>12363</v>
      </c>
      <c r="D28" s="4">
        <v>81277</v>
      </c>
      <c r="E28" s="6">
        <f t="shared" si="0"/>
        <v>140143</v>
      </c>
    </row>
    <row r="29" spans="1:5" x14ac:dyDescent="0.2">
      <c r="A29" s="17" t="s">
        <v>7</v>
      </c>
      <c r="B29" s="4">
        <v>9758</v>
      </c>
      <c r="C29" s="4">
        <v>1205</v>
      </c>
      <c r="D29" s="4">
        <v>14965</v>
      </c>
      <c r="E29" s="6">
        <f t="shared" si="0"/>
        <v>25928</v>
      </c>
    </row>
    <row r="30" spans="1:5" x14ac:dyDescent="0.2">
      <c r="A30" s="17" t="s">
        <v>8</v>
      </c>
      <c r="B30" s="4">
        <v>16245</v>
      </c>
      <c r="C30" s="4">
        <v>4652</v>
      </c>
      <c r="D30" s="4">
        <v>36665</v>
      </c>
      <c r="E30" s="6">
        <f t="shared" si="0"/>
        <v>57562</v>
      </c>
    </row>
    <row r="31" spans="1:5" x14ac:dyDescent="0.2">
      <c r="A31" s="17" t="s">
        <v>92</v>
      </c>
      <c r="B31" s="4">
        <v>31171</v>
      </c>
      <c r="C31" s="4">
        <v>3327</v>
      </c>
      <c r="D31" s="4">
        <v>49896</v>
      </c>
      <c r="E31" s="6">
        <f t="shared" si="0"/>
        <v>84394</v>
      </c>
    </row>
    <row r="32" spans="1:5" x14ac:dyDescent="0.2">
      <c r="A32" s="17" t="s">
        <v>9</v>
      </c>
      <c r="B32" s="4">
        <v>12026</v>
      </c>
      <c r="C32" s="4">
        <v>1746</v>
      </c>
      <c r="D32" s="4">
        <v>19204</v>
      </c>
      <c r="E32" s="6">
        <f t="shared" si="0"/>
        <v>32976</v>
      </c>
    </row>
    <row r="33" spans="1:5" x14ac:dyDescent="0.2">
      <c r="A33" s="17" t="s">
        <v>10</v>
      </c>
      <c r="B33" s="4">
        <v>175915</v>
      </c>
      <c r="C33" s="4">
        <v>16732</v>
      </c>
      <c r="D33" s="4">
        <v>277489</v>
      </c>
      <c r="E33" s="6">
        <f t="shared" si="0"/>
        <v>470136</v>
      </c>
    </row>
    <row r="34" spans="1:5" x14ac:dyDescent="0.2">
      <c r="A34" s="17" t="s">
        <v>11</v>
      </c>
      <c r="B34" s="4">
        <v>26937</v>
      </c>
      <c r="C34" s="4">
        <v>2186</v>
      </c>
      <c r="D34" s="4">
        <v>40813</v>
      </c>
      <c r="E34" s="6">
        <f t="shared" si="0"/>
        <v>69936</v>
      </c>
    </row>
    <row r="35" spans="1:5" x14ac:dyDescent="0.2">
      <c r="A35" s="17" t="s">
        <v>12</v>
      </c>
      <c r="B35" s="4">
        <v>230695</v>
      </c>
      <c r="C35" s="4">
        <v>28167</v>
      </c>
      <c r="D35" s="4">
        <v>371975</v>
      </c>
      <c r="E35" s="6">
        <f t="shared" si="0"/>
        <v>630837</v>
      </c>
    </row>
    <row r="36" spans="1:5" x14ac:dyDescent="0.2">
      <c r="A36" s="17" t="s">
        <v>13</v>
      </c>
      <c r="B36" s="4">
        <v>86090</v>
      </c>
      <c r="C36" s="4">
        <v>14434</v>
      </c>
      <c r="D36" s="4">
        <v>153144</v>
      </c>
      <c r="E36" s="6">
        <f t="shared" si="0"/>
        <v>253668</v>
      </c>
    </row>
    <row r="37" spans="1:5" x14ac:dyDescent="0.2">
      <c r="A37" s="17" t="s">
        <v>14</v>
      </c>
      <c r="B37" s="4">
        <v>9076</v>
      </c>
      <c r="C37" s="4">
        <v>2114</v>
      </c>
      <c r="D37" s="4">
        <v>14927</v>
      </c>
      <c r="E37" s="6">
        <f t="shared" si="0"/>
        <v>26117</v>
      </c>
    </row>
    <row r="38" spans="1:5" x14ac:dyDescent="0.2">
      <c r="A38" s="17" t="s">
        <v>15</v>
      </c>
      <c r="B38" s="4">
        <v>138454</v>
      </c>
      <c r="C38" s="4">
        <v>30801</v>
      </c>
      <c r="D38" s="4">
        <v>237918</v>
      </c>
      <c r="E38" s="6">
        <f t="shared" si="0"/>
        <v>407173</v>
      </c>
    </row>
    <row r="39" spans="1:5" x14ac:dyDescent="0.2">
      <c r="A39" s="17" t="s">
        <v>16</v>
      </c>
      <c r="B39" s="4">
        <v>45853</v>
      </c>
      <c r="C39" s="4">
        <v>6887</v>
      </c>
      <c r="D39" s="4">
        <v>75262</v>
      </c>
      <c r="E39" s="6">
        <f t="shared" si="0"/>
        <v>128002</v>
      </c>
    </row>
    <row r="40" spans="1:5" x14ac:dyDescent="0.2">
      <c r="A40" s="17" t="s">
        <v>17</v>
      </c>
      <c r="B40" s="4">
        <v>40931</v>
      </c>
      <c r="C40" s="4">
        <v>6347</v>
      </c>
      <c r="D40" s="4">
        <v>68433</v>
      </c>
      <c r="E40" s="6">
        <f t="shared" si="0"/>
        <v>115711</v>
      </c>
    </row>
    <row r="41" spans="1:5" x14ac:dyDescent="0.2">
      <c r="A41" s="17" t="s">
        <v>18</v>
      </c>
      <c r="B41" s="4">
        <v>143655</v>
      </c>
      <c r="C41" s="4">
        <v>25888</v>
      </c>
      <c r="D41" s="4">
        <v>237918</v>
      </c>
      <c r="E41" s="6">
        <f t="shared" si="0"/>
        <v>407461</v>
      </c>
    </row>
    <row r="42" spans="1:5" x14ac:dyDescent="0.2">
      <c r="A42" s="17" t="s">
        <v>19</v>
      </c>
      <c r="B42" s="4">
        <v>8671</v>
      </c>
      <c r="C42" s="4">
        <v>1336</v>
      </c>
      <c r="D42" s="4">
        <v>14338</v>
      </c>
      <c r="E42" s="6">
        <f t="shared" si="0"/>
        <v>24345</v>
      </c>
    </row>
    <row r="43" spans="1:5" x14ac:dyDescent="0.2">
      <c r="A43" s="17" t="s">
        <v>20</v>
      </c>
      <c r="B43" s="4">
        <v>37148</v>
      </c>
      <c r="C43" s="4">
        <v>4617</v>
      </c>
      <c r="D43" s="4">
        <v>57057</v>
      </c>
      <c r="E43" s="6">
        <f t="shared" si="0"/>
        <v>98822</v>
      </c>
    </row>
    <row r="44" spans="1:5" x14ac:dyDescent="0.2">
      <c r="A44" s="17" t="s">
        <v>21</v>
      </c>
      <c r="B44" s="4">
        <v>3934</v>
      </c>
      <c r="C44" s="4">
        <v>2003</v>
      </c>
      <c r="D44" s="4">
        <v>7788</v>
      </c>
      <c r="E44" s="6">
        <f t="shared" si="0"/>
        <v>13725</v>
      </c>
    </row>
    <row r="45" spans="1:5" x14ac:dyDescent="0.2">
      <c r="A45" s="17" t="s">
        <v>22</v>
      </c>
      <c r="B45" s="4">
        <v>54304</v>
      </c>
      <c r="C45" s="4">
        <v>10970</v>
      </c>
      <c r="D45" s="4">
        <v>82280</v>
      </c>
      <c r="E45" s="6">
        <f t="shared" si="0"/>
        <v>147554</v>
      </c>
    </row>
    <row r="46" spans="1:5" x14ac:dyDescent="0.2">
      <c r="A46" s="17" t="s">
        <v>23</v>
      </c>
      <c r="B46" s="4">
        <v>164023</v>
      </c>
      <c r="C46" s="4">
        <v>63943</v>
      </c>
      <c r="D46" s="4">
        <v>312593</v>
      </c>
      <c r="E46" s="6">
        <f t="shared" si="0"/>
        <v>540559</v>
      </c>
    </row>
    <row r="47" spans="1:5" x14ac:dyDescent="0.2">
      <c r="A47" s="17" t="s">
        <v>24</v>
      </c>
      <c r="B47" s="4">
        <v>20801</v>
      </c>
      <c r="C47" s="4">
        <v>4092</v>
      </c>
      <c r="D47" s="4">
        <v>32538</v>
      </c>
      <c r="E47" s="6">
        <f t="shared" si="0"/>
        <v>57431</v>
      </c>
    </row>
    <row r="48" spans="1:5" x14ac:dyDescent="0.2">
      <c r="A48" s="17" t="s">
        <v>25</v>
      </c>
      <c r="B48" s="4">
        <v>8536</v>
      </c>
      <c r="C48" s="4">
        <v>892</v>
      </c>
      <c r="D48" s="4">
        <v>13827</v>
      </c>
      <c r="E48" s="6">
        <f t="shared" si="0"/>
        <v>23255</v>
      </c>
    </row>
    <row r="49" spans="1:5" x14ac:dyDescent="0.2">
      <c r="A49" s="17" t="s">
        <v>26</v>
      </c>
      <c r="B49" s="4">
        <v>55341</v>
      </c>
      <c r="C49" s="4">
        <v>11818</v>
      </c>
      <c r="D49" s="4">
        <v>94477</v>
      </c>
      <c r="E49" s="6">
        <f t="shared" si="0"/>
        <v>161636</v>
      </c>
    </row>
    <row r="50" spans="1:5" x14ac:dyDescent="0.2">
      <c r="A50" s="17" t="s">
        <v>27</v>
      </c>
      <c r="B50" s="4">
        <v>81485</v>
      </c>
      <c r="C50" s="4">
        <v>12811</v>
      </c>
      <c r="D50" s="4">
        <v>135600</v>
      </c>
      <c r="E50" s="6">
        <f t="shared" si="0"/>
        <v>229896</v>
      </c>
    </row>
    <row r="51" spans="1:5" x14ac:dyDescent="0.2">
      <c r="A51" s="17" t="s">
        <v>28</v>
      </c>
      <c r="B51" s="4">
        <v>25131</v>
      </c>
      <c r="C51" s="4">
        <v>4193</v>
      </c>
      <c r="D51" s="4">
        <v>41677</v>
      </c>
      <c r="E51" s="6">
        <f t="shared" si="0"/>
        <v>71001</v>
      </c>
    </row>
    <row r="52" spans="1:5" x14ac:dyDescent="0.2">
      <c r="A52" s="17" t="s">
        <v>29</v>
      </c>
      <c r="B52" s="4">
        <v>59704</v>
      </c>
      <c r="C52" s="4">
        <v>13703</v>
      </c>
      <c r="D52" s="4">
        <v>95639</v>
      </c>
      <c r="E52" s="6">
        <f t="shared" si="0"/>
        <v>169046</v>
      </c>
    </row>
    <row r="53" spans="1:5" x14ac:dyDescent="0.2">
      <c r="A53" s="17" t="s">
        <v>30</v>
      </c>
      <c r="B53" s="4">
        <v>5731</v>
      </c>
      <c r="C53" s="4">
        <v>1307</v>
      </c>
      <c r="D53" s="4">
        <v>9231</v>
      </c>
      <c r="E53" s="6">
        <f t="shared" si="0"/>
        <v>16269</v>
      </c>
    </row>
    <row r="54" spans="1:5" x14ac:dyDescent="0.2">
      <c r="A54" s="17"/>
      <c r="E54" s="6"/>
    </row>
    <row r="55" spans="1:5" x14ac:dyDescent="0.2">
      <c r="A55" s="18" t="s">
        <v>32</v>
      </c>
      <c r="B55" s="4">
        <f>SUM(B4:B54)</f>
        <v>3357720</v>
      </c>
      <c r="C55" s="4">
        <f>SUM(C4:C54)</f>
        <v>522992</v>
      </c>
      <c r="D55" s="4">
        <f>SUM(D4:D54)</f>
        <v>5584564</v>
      </c>
      <c r="E55" s="6">
        <f t="shared" si="0"/>
        <v>9465276</v>
      </c>
    </row>
    <row r="56" spans="1:5" x14ac:dyDescent="0.2">
      <c r="E56" s="6"/>
    </row>
    <row r="57" spans="1:5" x14ac:dyDescent="0.2">
      <c r="A57" t="s">
        <v>76</v>
      </c>
      <c r="B57" s="4">
        <v>3501</v>
      </c>
      <c r="C57" s="4">
        <v>218</v>
      </c>
      <c r="D57" s="4">
        <v>5446</v>
      </c>
      <c r="E57" s="6">
        <f t="shared" si="0"/>
        <v>9165</v>
      </c>
    </row>
    <row r="58" spans="1:5" x14ac:dyDescent="0.2">
      <c r="A58" t="s">
        <v>68</v>
      </c>
      <c r="B58" s="4">
        <v>21937</v>
      </c>
      <c r="C58" s="4">
        <v>1964</v>
      </c>
      <c r="D58" s="4">
        <v>35631</v>
      </c>
      <c r="E58" s="6">
        <f t="shared" si="0"/>
        <v>59532</v>
      </c>
    </row>
    <row r="59" spans="1:5" x14ac:dyDescent="0.2">
      <c r="A59" t="s">
        <v>77</v>
      </c>
      <c r="B59" s="4">
        <v>3790</v>
      </c>
      <c r="C59" s="4">
        <v>0</v>
      </c>
      <c r="D59" s="4">
        <v>5742</v>
      </c>
      <c r="E59" s="6">
        <f t="shared" si="0"/>
        <v>9532</v>
      </c>
    </row>
    <row r="60" spans="1:5" x14ac:dyDescent="0.2">
      <c r="E60" s="6"/>
    </row>
    <row r="61" spans="1:5" x14ac:dyDescent="0.2">
      <c r="A61" t="s">
        <v>78</v>
      </c>
      <c r="B61" s="4">
        <f>+B55+B57+B58+B59</f>
        <v>3386948</v>
      </c>
      <c r="C61" s="4">
        <f t="shared" ref="C61:D61" si="1">+C55+C57+C58+C59</f>
        <v>525174</v>
      </c>
      <c r="D61" s="4">
        <f t="shared" si="1"/>
        <v>5631383</v>
      </c>
      <c r="E61" s="6">
        <f t="shared" si="0"/>
        <v>9543505</v>
      </c>
    </row>
  </sheetData>
  <phoneticPr fontId="8"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tabColor rgb="FF00B0F0"/>
  </sheetPr>
  <dimension ref="A1:G140"/>
  <sheetViews>
    <sheetView topLeftCell="A13" workbookViewId="0">
      <selection activeCell="A27" sqref="A27"/>
    </sheetView>
  </sheetViews>
  <sheetFormatPr baseColWidth="10" defaultColWidth="8.83203125" defaultRowHeight="15" x14ac:dyDescent="0.2"/>
  <cols>
    <col min="1" max="1" width="17.5" bestFit="1" customWidth="1"/>
    <col min="2" max="2" width="15.6640625" style="4" customWidth="1"/>
    <col min="4" max="6" width="15.33203125" style="4" bestFit="1" customWidth="1"/>
    <col min="7" max="7" width="16.83203125" style="4" bestFit="1" customWidth="1"/>
  </cols>
  <sheetData>
    <row r="1" spans="1:7" x14ac:dyDescent="0.2">
      <c r="A1" s="1" t="s">
        <v>258</v>
      </c>
    </row>
    <row r="2" spans="1:7" x14ac:dyDescent="0.2">
      <c r="A2" s="2" t="s">
        <v>270</v>
      </c>
      <c r="D2" s="4" t="s">
        <v>310</v>
      </c>
    </row>
    <row r="3" spans="1:7" x14ac:dyDescent="0.2">
      <c r="A3" s="3"/>
      <c r="B3" s="19"/>
      <c r="D3" s="97" t="s">
        <v>297</v>
      </c>
      <c r="E3" s="97" t="s">
        <v>298</v>
      </c>
      <c r="F3" s="97" t="s">
        <v>299</v>
      </c>
      <c r="G3" s="97" t="s">
        <v>300</v>
      </c>
    </row>
    <row r="4" spans="1:7" x14ac:dyDescent="0.2">
      <c r="A4" t="s">
        <v>109</v>
      </c>
      <c r="B4" s="20">
        <v>16831</v>
      </c>
      <c r="D4" s="4">
        <v>3173590.9259969844</v>
      </c>
      <c r="E4" s="4">
        <v>2158034.3573968834</v>
      </c>
      <c r="F4" s="4">
        <v>6926538.1818363266</v>
      </c>
      <c r="G4" s="4">
        <v>4572485.5347698051</v>
      </c>
    </row>
    <row r="5" spans="1:7" x14ac:dyDescent="0.2">
      <c r="A5" t="s">
        <v>110</v>
      </c>
      <c r="B5" s="20">
        <v>25657</v>
      </c>
      <c r="D5" s="4">
        <v>6226661.8860452706</v>
      </c>
      <c r="E5" s="4">
        <v>4280798.182565623</v>
      </c>
      <c r="F5" s="4">
        <v>8973955.6910389103</v>
      </c>
      <c r="G5" s="4">
        <v>6175802.2403501943</v>
      </c>
    </row>
    <row r="6" spans="1:7" x14ac:dyDescent="0.2">
      <c r="A6" t="s">
        <v>111</v>
      </c>
      <c r="B6" s="20">
        <v>43956</v>
      </c>
      <c r="D6" s="4">
        <v>10842505.678993106</v>
      </c>
      <c r="E6" s="4">
        <v>6197878.7789589129</v>
      </c>
      <c r="F6" s="4">
        <v>14655425.773987273</v>
      </c>
      <c r="G6" s="4">
        <v>12260098.154354099</v>
      </c>
    </row>
    <row r="7" spans="1:7" x14ac:dyDescent="0.2">
      <c r="A7" t="s">
        <v>112</v>
      </c>
      <c r="B7" s="21">
        <v>6551</v>
      </c>
      <c r="D7" s="4">
        <v>1442173.4821420256</v>
      </c>
      <c r="E7" s="4">
        <v>914470.00190302473</v>
      </c>
      <c r="F7" s="4">
        <v>2381051.6478827549</v>
      </c>
      <c r="G7" s="4">
        <v>1813329.8488141987</v>
      </c>
    </row>
    <row r="8" spans="1:7" x14ac:dyDescent="0.2">
      <c r="A8" t="s">
        <v>113</v>
      </c>
      <c r="B8" s="21">
        <v>332169</v>
      </c>
      <c r="D8" s="4">
        <v>116983174.51489675</v>
      </c>
      <c r="E8" s="4">
        <v>72689922.634615406</v>
      </c>
      <c r="F8" s="4">
        <v>94926574.222970203</v>
      </c>
      <c r="G8" s="4">
        <v>47569735.368244521</v>
      </c>
    </row>
    <row r="9" spans="1:7" x14ac:dyDescent="0.2">
      <c r="A9" t="s">
        <v>115</v>
      </c>
      <c r="B9" s="21">
        <v>23690</v>
      </c>
      <c r="D9" s="4">
        <v>3556546.95</v>
      </c>
      <c r="E9" s="4">
        <v>1735502.5360000001</v>
      </c>
      <c r="F9" s="4">
        <v>4951785.1040000003</v>
      </c>
      <c r="G9" s="4">
        <v>13446478.41</v>
      </c>
    </row>
    <row r="10" spans="1:7" x14ac:dyDescent="0.2">
      <c r="A10" t="s">
        <v>114</v>
      </c>
      <c r="B10" s="21">
        <v>25888</v>
      </c>
      <c r="D10" s="4">
        <v>7006940.6856859764</v>
      </c>
      <c r="E10" s="4">
        <v>6041170.2084362954</v>
      </c>
      <c r="F10" s="4">
        <v>10021171.827799708</v>
      </c>
      <c r="G10" s="4">
        <v>2818281.6779589886</v>
      </c>
    </row>
    <row r="11" spans="1:7" x14ac:dyDescent="0.2">
      <c r="A11" t="s">
        <v>42</v>
      </c>
      <c r="B11" s="21">
        <v>3875</v>
      </c>
      <c r="D11" s="4">
        <v>1033800.8595887396</v>
      </c>
      <c r="E11" s="4">
        <v>797167.6880564217</v>
      </c>
      <c r="F11" s="4">
        <v>1373631.05344086</v>
      </c>
      <c r="G11" s="4">
        <v>670737.3989139786</v>
      </c>
    </row>
    <row r="12" spans="1:7" x14ac:dyDescent="0.2">
      <c r="A12" t="s">
        <v>116</v>
      </c>
      <c r="B12" s="21">
        <v>138001</v>
      </c>
      <c r="D12" s="4">
        <v>33856390.719726846</v>
      </c>
      <c r="E12" s="4">
        <v>20913686.455414802</v>
      </c>
      <c r="F12" s="4">
        <v>46687617.097349256</v>
      </c>
      <c r="G12" s="4">
        <v>36543699.073121816</v>
      </c>
    </row>
    <row r="13" spans="1:7" x14ac:dyDescent="0.2">
      <c r="A13" t="s">
        <v>117</v>
      </c>
      <c r="B13" s="21">
        <v>10479</v>
      </c>
      <c r="D13" s="4">
        <v>2702731.8409956228</v>
      </c>
      <c r="E13" s="4">
        <v>1460454.7495576211</v>
      </c>
      <c r="F13" s="4">
        <v>3884365.8271260066</v>
      </c>
      <c r="G13" s="4">
        <v>2430994.0081506413</v>
      </c>
    </row>
    <row r="14" spans="1:7" x14ac:dyDescent="0.2">
      <c r="A14" t="s">
        <v>118</v>
      </c>
      <c r="B14" s="21">
        <v>13994</v>
      </c>
      <c r="D14" s="4">
        <v>3927808.7075700094</v>
      </c>
      <c r="E14" s="4">
        <v>1864573.1658132703</v>
      </c>
      <c r="F14" s="4">
        <v>4709977.7319862721</v>
      </c>
      <c r="G14" s="4">
        <v>3491309.3946304494</v>
      </c>
    </row>
    <row r="15" spans="1:7" x14ac:dyDescent="0.2">
      <c r="A15" t="s">
        <v>119</v>
      </c>
      <c r="B15" s="21">
        <v>9769</v>
      </c>
      <c r="D15" s="4">
        <v>2363064.0107542286</v>
      </c>
      <c r="E15" s="4">
        <v>1422483.1432383987</v>
      </c>
      <c r="F15" s="4">
        <v>3397219.1288276622</v>
      </c>
      <c r="G15" s="4">
        <v>2586662.5885808626</v>
      </c>
    </row>
    <row r="16" spans="1:7" x14ac:dyDescent="0.2">
      <c r="A16" t="s">
        <v>120</v>
      </c>
      <c r="B16" s="21">
        <v>13686</v>
      </c>
      <c r="D16" s="4">
        <v>3067109.8381011095</v>
      </c>
      <c r="E16" s="4">
        <v>2103265.781910826</v>
      </c>
      <c r="F16" s="4">
        <v>4866749.460289916</v>
      </c>
      <c r="G16" s="4">
        <v>3649332.448066182</v>
      </c>
    </row>
    <row r="17" spans="1:7" x14ac:dyDescent="0.2">
      <c r="A17" t="s">
        <v>121</v>
      </c>
      <c r="B17" s="21">
        <v>14441</v>
      </c>
      <c r="D17" s="4">
        <v>3244172.9464636138</v>
      </c>
      <c r="E17" s="4">
        <v>2138142.7238825108</v>
      </c>
      <c r="F17" s="4">
        <v>4730166.4753508745</v>
      </c>
      <c r="G17" s="4">
        <v>4328021.1517469808</v>
      </c>
    </row>
    <row r="18" spans="1:7" x14ac:dyDescent="0.2">
      <c r="A18" t="s">
        <v>122</v>
      </c>
      <c r="B18" s="21">
        <v>27863</v>
      </c>
      <c r="D18" s="4">
        <v>6558263.2981609227</v>
      </c>
      <c r="E18" s="4">
        <v>4585773.9454102321</v>
      </c>
      <c r="F18" s="4">
        <v>9425912.9730515089</v>
      </c>
      <c r="G18" s="4">
        <v>7293492.7997220615</v>
      </c>
    </row>
    <row r="19" spans="1:7" x14ac:dyDescent="0.2">
      <c r="A19" t="s">
        <v>123</v>
      </c>
      <c r="B19" s="21">
        <v>20674</v>
      </c>
      <c r="D19" s="4">
        <v>3936339.9639999997</v>
      </c>
      <c r="E19" s="4">
        <v>2625063.7350000003</v>
      </c>
      <c r="F19" s="4">
        <v>6995441.0769999996</v>
      </c>
      <c r="G19" s="4">
        <v>7117488.2240000013</v>
      </c>
    </row>
    <row r="20" spans="1:7" x14ac:dyDescent="0.2">
      <c r="A20" t="s">
        <v>124</v>
      </c>
      <c r="B20" s="21">
        <v>25432</v>
      </c>
      <c r="D20" s="4">
        <v>6934756.5029434646</v>
      </c>
      <c r="E20" s="4">
        <v>3722213.1258170572</v>
      </c>
      <c r="F20" s="4">
        <v>8937849.9207122829</v>
      </c>
      <c r="G20" s="4">
        <v>5837041.7598589938</v>
      </c>
    </row>
    <row r="21" spans="1:7" x14ac:dyDescent="0.2">
      <c r="A21" t="s">
        <v>125</v>
      </c>
      <c r="B21" s="21">
        <v>53595</v>
      </c>
      <c r="D21" s="4">
        <v>13630649.323074788</v>
      </c>
      <c r="E21" s="4">
        <v>8216754.5043959953</v>
      </c>
      <c r="F21" s="4">
        <v>18297987.809726603</v>
      </c>
      <c r="G21" s="4">
        <v>13449398.794351451</v>
      </c>
    </row>
    <row r="22" spans="1:7" x14ac:dyDescent="0.2">
      <c r="A22" t="s">
        <v>0</v>
      </c>
      <c r="B22" s="21">
        <v>1355</v>
      </c>
      <c r="D22" s="4">
        <v>374128.05660034355</v>
      </c>
      <c r="E22" s="4">
        <v>289606.61782924825</v>
      </c>
      <c r="F22" s="4">
        <v>531824.99826484511</v>
      </c>
      <c r="G22" s="4">
        <v>159858.82086112001</v>
      </c>
    </row>
    <row r="23" spans="1:7" x14ac:dyDescent="0.2">
      <c r="A23" t="s">
        <v>1</v>
      </c>
      <c r="B23" s="21">
        <v>29137</v>
      </c>
      <c r="D23" s="4">
        <v>6186881.7063207002</v>
      </c>
      <c r="E23" s="4">
        <v>3509593.15361183</v>
      </c>
      <c r="F23" s="4">
        <v>9378380.1147623379</v>
      </c>
      <c r="G23" s="4">
        <v>10062298.427311618</v>
      </c>
    </row>
    <row r="24" spans="1:7" x14ac:dyDescent="0.2">
      <c r="A24" t="s">
        <v>2</v>
      </c>
      <c r="B24" s="21">
        <v>62964</v>
      </c>
      <c r="D24" s="4">
        <v>12675931.853165094</v>
      </c>
      <c r="E24" s="4">
        <v>8201619.3289089827</v>
      </c>
      <c r="F24" s="4">
        <v>18916770.219888866</v>
      </c>
      <c r="G24" s="4">
        <v>23170013.236388013</v>
      </c>
    </row>
    <row r="25" spans="1:7" x14ac:dyDescent="0.2">
      <c r="A25" t="s">
        <v>3</v>
      </c>
      <c r="B25" s="21">
        <v>112767</v>
      </c>
      <c r="D25" s="4">
        <v>28225676.543730073</v>
      </c>
      <c r="E25" s="4">
        <v>13771671.426491929</v>
      </c>
      <c r="F25" s="4">
        <v>35288312.280451007</v>
      </c>
      <c r="G25" s="4">
        <v>35481790.915454499</v>
      </c>
    </row>
    <row r="26" spans="1:7" x14ac:dyDescent="0.2">
      <c r="A26" t="s">
        <v>4</v>
      </c>
      <c r="B26" s="21">
        <v>16791</v>
      </c>
      <c r="D26" s="4">
        <v>3791325.4162140023</v>
      </c>
      <c r="E26" s="4">
        <v>2298295.4422226823</v>
      </c>
      <c r="F26" s="4">
        <v>5485691.6838548537</v>
      </c>
      <c r="G26" s="4">
        <v>5215432.0943334298</v>
      </c>
    </row>
    <row r="27" spans="1:7" x14ac:dyDescent="0.2">
      <c r="A27" t="s">
        <v>5</v>
      </c>
      <c r="B27" s="21">
        <v>17071</v>
      </c>
      <c r="D27" s="4">
        <v>3704126.0248147221</v>
      </c>
      <c r="E27" s="4">
        <v>2330923.6062827287</v>
      </c>
      <c r="F27" s="4">
        <v>6284550.4098933265</v>
      </c>
      <c r="G27" s="4">
        <v>4750923.8550058035</v>
      </c>
    </row>
    <row r="28" spans="1:7" x14ac:dyDescent="0.2">
      <c r="A28" t="s">
        <v>6</v>
      </c>
      <c r="B28" s="21">
        <v>40720</v>
      </c>
      <c r="D28" s="4">
        <v>9718960.5106593296</v>
      </c>
      <c r="E28" s="4">
        <v>7067272.0718587246</v>
      </c>
      <c r="F28" s="4">
        <v>14125627.762993794</v>
      </c>
      <c r="G28" s="4">
        <v>9807699.3632836174</v>
      </c>
    </row>
    <row r="29" spans="1:7" x14ac:dyDescent="0.2">
      <c r="A29" t="s">
        <v>7</v>
      </c>
      <c r="B29" s="21">
        <v>4469</v>
      </c>
      <c r="D29" s="4">
        <v>1073363.2951504593</v>
      </c>
      <c r="E29" s="4">
        <v>694528.91707477765</v>
      </c>
      <c r="F29" s="4">
        <v>1647431.9937051653</v>
      </c>
      <c r="G29" s="4">
        <v>1054172.6512124548</v>
      </c>
    </row>
    <row r="30" spans="1:7" x14ac:dyDescent="0.2">
      <c r="A30" t="s">
        <v>8</v>
      </c>
      <c r="B30" s="21">
        <v>2867</v>
      </c>
      <c r="D30" s="4">
        <v>773475.36058242666</v>
      </c>
      <c r="E30" s="4">
        <v>443863.68938608415</v>
      </c>
      <c r="F30" s="4">
        <v>1080521.2793021756</v>
      </c>
      <c r="G30" s="4">
        <v>569591.10993888869</v>
      </c>
    </row>
    <row r="31" spans="1:7" x14ac:dyDescent="0.2">
      <c r="A31" t="s">
        <v>92</v>
      </c>
      <c r="B31" s="21">
        <v>9218</v>
      </c>
      <c r="D31" s="4">
        <v>2340104.7215537922</v>
      </c>
      <c r="E31" s="4">
        <v>1443649.2963295141</v>
      </c>
      <c r="F31" s="4">
        <v>3077652.5765063851</v>
      </c>
      <c r="G31" s="4">
        <v>2356379.365213505</v>
      </c>
    </row>
    <row r="32" spans="1:7" x14ac:dyDescent="0.2">
      <c r="A32" t="s">
        <v>9</v>
      </c>
      <c r="B32" s="21">
        <v>2526</v>
      </c>
      <c r="D32" s="4">
        <v>537561.27759079786</v>
      </c>
      <c r="E32" s="4">
        <v>391639.27115927043</v>
      </c>
      <c r="F32" s="4">
        <v>824628.67346886883</v>
      </c>
      <c r="G32" s="4">
        <v>771997.76274225838</v>
      </c>
    </row>
    <row r="33" spans="1:7" x14ac:dyDescent="0.2">
      <c r="A33" t="s">
        <v>10</v>
      </c>
      <c r="B33" s="21">
        <v>35151</v>
      </c>
      <c r="D33" s="4">
        <v>7832789.3634356903</v>
      </c>
      <c r="E33" s="4">
        <v>5316954.4874033155</v>
      </c>
      <c r="F33" s="4">
        <v>11188538.665735107</v>
      </c>
      <c r="G33" s="4">
        <v>10812647.209801126</v>
      </c>
    </row>
    <row r="34" spans="1:7" x14ac:dyDescent="0.2">
      <c r="A34" t="s">
        <v>11</v>
      </c>
      <c r="B34" s="21">
        <v>7365</v>
      </c>
      <c r="D34" s="4">
        <v>1578102.2610877855</v>
      </c>
      <c r="E34" s="4">
        <v>1313518.6969199518</v>
      </c>
      <c r="F34" s="4">
        <v>3064769.6949486495</v>
      </c>
      <c r="G34" s="4">
        <v>1408588.347043613</v>
      </c>
    </row>
    <row r="35" spans="1:7" x14ac:dyDescent="0.2">
      <c r="A35" t="s">
        <v>12</v>
      </c>
      <c r="B35" s="21">
        <v>176111</v>
      </c>
      <c r="D35" s="4">
        <v>39583573.631276689</v>
      </c>
      <c r="E35" s="4">
        <v>23829573.759135529</v>
      </c>
      <c r="F35" s="4">
        <v>65969134.921470232</v>
      </c>
      <c r="G35" s="4">
        <v>46728253.159962006</v>
      </c>
    </row>
    <row r="36" spans="1:7" x14ac:dyDescent="0.2">
      <c r="A36" t="s">
        <v>13</v>
      </c>
      <c r="B36" s="21">
        <v>23318</v>
      </c>
      <c r="D36" s="4">
        <v>5361898.2214160021</v>
      </c>
      <c r="E36" s="4">
        <v>3382052.9538079156</v>
      </c>
      <c r="F36" s="4">
        <v>7845053.409106303</v>
      </c>
      <c r="G36" s="4">
        <v>6729444.5964127909</v>
      </c>
    </row>
    <row r="37" spans="1:7" x14ac:dyDescent="0.2">
      <c r="A37" t="s">
        <v>14</v>
      </c>
      <c r="B37" s="21">
        <v>847</v>
      </c>
      <c r="D37" s="4">
        <v>163760.43372452384</v>
      </c>
      <c r="E37" s="4">
        <v>110525.94931169505</v>
      </c>
      <c r="F37" s="4">
        <v>320344.37146173249</v>
      </c>
      <c r="G37" s="4">
        <v>252162.4584650115</v>
      </c>
    </row>
    <row r="38" spans="1:7" x14ac:dyDescent="0.2">
      <c r="A38" t="s">
        <v>15</v>
      </c>
      <c r="B38" s="21">
        <v>20962</v>
      </c>
      <c r="D38" s="4">
        <v>5085987.2314401921</v>
      </c>
      <c r="E38" s="4">
        <v>3338162.4275523499</v>
      </c>
      <c r="F38" s="4">
        <v>7254722.473130594</v>
      </c>
      <c r="G38" s="4">
        <v>5283327.7498755381</v>
      </c>
    </row>
    <row r="39" spans="1:7" x14ac:dyDescent="0.2">
      <c r="A39" t="s">
        <v>16</v>
      </c>
      <c r="B39" s="21">
        <v>26756</v>
      </c>
      <c r="D39" s="4">
        <v>8500178.4680000003</v>
      </c>
      <c r="E39" s="4">
        <v>4064799.9690000005</v>
      </c>
      <c r="F39" s="4">
        <v>9705981.8480000012</v>
      </c>
      <c r="G39" s="4">
        <v>4484848.714999998</v>
      </c>
    </row>
    <row r="40" spans="1:7" x14ac:dyDescent="0.2">
      <c r="A40" t="s">
        <v>17</v>
      </c>
      <c r="B40" s="21">
        <v>22889</v>
      </c>
      <c r="D40" s="4">
        <v>6104017.7259999998</v>
      </c>
      <c r="E40" s="4">
        <v>3294915.6520000002</v>
      </c>
      <c r="F40" s="4">
        <v>8373073.8279999988</v>
      </c>
      <c r="G40" s="4">
        <v>5116510.7940000007</v>
      </c>
    </row>
    <row r="41" spans="1:7" x14ac:dyDescent="0.2">
      <c r="A41" t="s">
        <v>18</v>
      </c>
      <c r="B41" s="21">
        <v>60260</v>
      </c>
      <c r="D41" s="4">
        <v>12187800.470895171</v>
      </c>
      <c r="E41" s="4">
        <v>11697161.299504235</v>
      </c>
      <c r="F41" s="4">
        <v>24850761.660458513</v>
      </c>
      <c r="G41" s="4">
        <v>11524684.884266037</v>
      </c>
    </row>
    <row r="42" spans="1:7" x14ac:dyDescent="0.2">
      <c r="A42" t="s">
        <v>19</v>
      </c>
      <c r="B42" s="21">
        <v>9133</v>
      </c>
      <c r="D42" s="4">
        <v>2191173.6440748582</v>
      </c>
      <c r="E42" s="4">
        <v>2286660.8814875451</v>
      </c>
      <c r="F42" s="4">
        <v>4413322.0871601803</v>
      </c>
      <c r="G42" s="4">
        <v>241806.1494439696</v>
      </c>
    </row>
    <row r="43" spans="1:7" x14ac:dyDescent="0.2">
      <c r="A43" t="s">
        <v>20</v>
      </c>
      <c r="B43" s="21">
        <v>11988</v>
      </c>
      <c r="D43" s="4">
        <v>2948915.7810986941</v>
      </c>
      <c r="E43" s="4">
        <v>1614848.867111316</v>
      </c>
      <c r="F43" s="4">
        <v>4343817.333578621</v>
      </c>
      <c r="G43" s="4">
        <v>3080423.7252571052</v>
      </c>
    </row>
    <row r="44" spans="1:7" x14ac:dyDescent="0.2">
      <c r="A44" t="s">
        <v>21</v>
      </c>
      <c r="B44" s="21">
        <v>4536</v>
      </c>
      <c r="D44" s="4">
        <v>1000823.818697908</v>
      </c>
      <c r="E44" s="4">
        <v>1010961.9478794228</v>
      </c>
      <c r="F44" s="4">
        <v>2037885.6144380835</v>
      </c>
      <c r="G44" s="4">
        <v>486778.6189845858</v>
      </c>
    </row>
    <row r="45" spans="1:7" x14ac:dyDescent="0.2">
      <c r="A45" t="s">
        <v>22</v>
      </c>
      <c r="B45" s="21">
        <v>19031</v>
      </c>
      <c r="D45" s="4">
        <v>4827068.1221220195</v>
      </c>
      <c r="E45" s="4">
        <v>3146644.7091773655</v>
      </c>
      <c r="F45" s="4">
        <v>6698793.0814841576</v>
      </c>
      <c r="G45" s="4">
        <v>4358631.0872164592</v>
      </c>
    </row>
    <row r="46" spans="1:7" x14ac:dyDescent="0.2">
      <c r="A46" t="s">
        <v>23</v>
      </c>
      <c r="B46" s="21">
        <v>31782</v>
      </c>
      <c r="D46" s="4">
        <v>7525759.6872568782</v>
      </c>
      <c r="E46" s="4">
        <v>4795396.7098043654</v>
      </c>
      <c r="F46" s="4">
        <v>10939044.175162636</v>
      </c>
      <c r="G46" s="4">
        <v>8521318.3333123904</v>
      </c>
    </row>
    <row r="47" spans="1:7" x14ac:dyDescent="0.2">
      <c r="A47" t="s">
        <v>24</v>
      </c>
      <c r="B47" s="21">
        <v>12008</v>
      </c>
      <c r="D47" s="4">
        <v>2433274.2311957628</v>
      </c>
      <c r="E47" s="4">
        <v>1674329.6911859461</v>
      </c>
      <c r="F47" s="4">
        <v>3898282.3384177303</v>
      </c>
      <c r="G47" s="4">
        <v>4001907.465911245</v>
      </c>
    </row>
    <row r="48" spans="1:7" x14ac:dyDescent="0.2">
      <c r="A48" t="s">
        <v>25</v>
      </c>
      <c r="B48" s="21">
        <v>5765</v>
      </c>
      <c r="D48" s="4">
        <v>1247526.0188668417</v>
      </c>
      <c r="E48" s="4">
        <v>893254.59202244424</v>
      </c>
      <c r="F48" s="4">
        <v>2009918.7401229101</v>
      </c>
      <c r="G48" s="4">
        <v>1614690.0120362847</v>
      </c>
    </row>
    <row r="49" spans="1:7" x14ac:dyDescent="0.2">
      <c r="A49" t="s">
        <v>26</v>
      </c>
      <c r="B49" s="21">
        <v>38847</v>
      </c>
      <c r="D49" s="4">
        <v>7492577.5216008797</v>
      </c>
      <c r="E49" s="4">
        <v>4605373.4972783318</v>
      </c>
      <c r="F49" s="4">
        <v>12299556.566617543</v>
      </c>
      <c r="G49" s="4">
        <v>14449261.095836055</v>
      </c>
    </row>
    <row r="50" spans="1:7" x14ac:dyDescent="0.2">
      <c r="A50" t="s">
        <v>27</v>
      </c>
      <c r="B50" s="21">
        <v>40663</v>
      </c>
      <c r="D50" s="4">
        <v>10216434.623812176</v>
      </c>
      <c r="E50" s="4">
        <v>6253143.4734027255</v>
      </c>
      <c r="F50" s="4">
        <v>13310085.415120337</v>
      </c>
      <c r="G50" s="4">
        <v>10883444.487664759</v>
      </c>
    </row>
    <row r="51" spans="1:7" x14ac:dyDescent="0.2">
      <c r="A51" t="s">
        <v>28</v>
      </c>
      <c r="B51" s="21">
        <v>15298</v>
      </c>
      <c r="D51" s="4">
        <v>3673353.5033878651</v>
      </c>
      <c r="E51" s="4">
        <v>2297855.329716444</v>
      </c>
      <c r="F51" s="4">
        <v>5581337.7824233472</v>
      </c>
      <c r="G51" s="4">
        <v>3745040.3844723431</v>
      </c>
    </row>
    <row r="52" spans="1:7" x14ac:dyDescent="0.2">
      <c r="A52" t="s">
        <v>29</v>
      </c>
      <c r="B52" s="21">
        <v>25372</v>
      </c>
      <c r="D52" s="4">
        <v>5668526.1305624973</v>
      </c>
      <c r="E52" s="4">
        <v>4298957.7682319786</v>
      </c>
      <c r="F52" s="4">
        <v>8665865.2423490509</v>
      </c>
      <c r="G52" s="4">
        <v>6738700.2955521718</v>
      </c>
    </row>
    <row r="53" spans="1:7" x14ac:dyDescent="0.2">
      <c r="A53" t="s">
        <v>30</v>
      </c>
      <c r="B53" s="21">
        <v>4903</v>
      </c>
      <c r="D53" s="4">
        <v>939576.53271115129</v>
      </c>
      <c r="E53" s="4">
        <v>731147.77277794725</v>
      </c>
      <c r="F53" s="4">
        <v>1694078.8379305867</v>
      </c>
      <c r="G53" s="4">
        <v>1538342.8565803152</v>
      </c>
    </row>
    <row r="54" spans="1:7" x14ac:dyDescent="0.2">
      <c r="A54" t="s">
        <v>223</v>
      </c>
      <c r="B54" s="20">
        <f>SUM(B4:B53)</f>
        <v>1699421</v>
      </c>
    </row>
    <row r="55" spans="1:7" x14ac:dyDescent="0.2">
      <c r="B55" s="20"/>
      <c r="D55" s="4">
        <v>436451334.32418466</v>
      </c>
      <c r="E55" s="4">
        <v>274266258.97424001</v>
      </c>
      <c r="F55" s="4">
        <v>567249181.08458436</v>
      </c>
      <c r="G55" s="4">
        <v>421455358.90447438</v>
      </c>
    </row>
    <row r="56" spans="1:7" x14ac:dyDescent="0.2">
      <c r="A56" t="s">
        <v>224</v>
      </c>
      <c r="B56" s="20"/>
    </row>
    <row r="57" spans="1:7" x14ac:dyDescent="0.2">
      <c r="A57" t="s">
        <v>269</v>
      </c>
      <c r="B57" s="20"/>
      <c r="G57" s="4">
        <v>1699422133.2874832</v>
      </c>
    </row>
    <row r="58" spans="1:7" x14ac:dyDescent="0.2">
      <c r="B58" s="20"/>
    </row>
    <row r="59" spans="1:7" x14ac:dyDescent="0.2">
      <c r="B59" s="20"/>
    </row>
    <row r="60" spans="1:7" x14ac:dyDescent="0.2">
      <c r="B60" s="20"/>
    </row>
    <row r="61" spans="1:7" x14ac:dyDescent="0.2">
      <c r="B61" s="20"/>
    </row>
    <row r="62" spans="1:7" x14ac:dyDescent="0.2">
      <c r="B62" s="20"/>
    </row>
    <row r="63" spans="1:7" x14ac:dyDescent="0.2">
      <c r="B63" s="20"/>
    </row>
    <row r="64" spans="1:7" x14ac:dyDescent="0.2">
      <c r="B64" s="20"/>
    </row>
    <row r="65" spans="2:2" x14ac:dyDescent="0.2">
      <c r="B65" s="20"/>
    </row>
    <row r="66" spans="2:2" x14ac:dyDescent="0.2">
      <c r="B66" s="20"/>
    </row>
    <row r="67" spans="2:2" x14ac:dyDescent="0.2">
      <c r="B67" s="20"/>
    </row>
    <row r="68" spans="2:2" x14ac:dyDescent="0.2">
      <c r="B68" s="20"/>
    </row>
    <row r="69" spans="2:2" x14ac:dyDescent="0.2">
      <c r="B69" s="20"/>
    </row>
    <row r="70" spans="2:2" x14ac:dyDescent="0.2">
      <c r="B70" s="20"/>
    </row>
    <row r="71" spans="2:2" x14ac:dyDescent="0.2">
      <c r="B71" s="20"/>
    </row>
    <row r="72" spans="2:2" x14ac:dyDescent="0.2">
      <c r="B72" s="20"/>
    </row>
    <row r="73" spans="2:2" x14ac:dyDescent="0.2">
      <c r="B73" s="20"/>
    </row>
    <row r="74" spans="2:2" x14ac:dyDescent="0.2">
      <c r="B74" s="20"/>
    </row>
    <row r="75" spans="2:2" x14ac:dyDescent="0.2">
      <c r="B75" s="20"/>
    </row>
    <row r="76" spans="2:2" x14ac:dyDescent="0.2">
      <c r="B76" s="20"/>
    </row>
    <row r="77" spans="2:2" x14ac:dyDescent="0.2">
      <c r="B77" s="20"/>
    </row>
    <row r="78" spans="2:2" x14ac:dyDescent="0.2">
      <c r="B78" s="20"/>
    </row>
    <row r="79" spans="2:2" x14ac:dyDescent="0.2">
      <c r="B79" s="20"/>
    </row>
    <row r="80" spans="2:2" x14ac:dyDescent="0.2">
      <c r="B80" s="20"/>
    </row>
    <row r="81" spans="2:2" x14ac:dyDescent="0.2">
      <c r="B81" s="20"/>
    </row>
    <row r="82" spans="2:2" x14ac:dyDescent="0.2">
      <c r="B82" s="20"/>
    </row>
    <row r="83" spans="2:2" x14ac:dyDescent="0.2">
      <c r="B83" s="20"/>
    </row>
    <row r="84" spans="2:2" x14ac:dyDescent="0.2">
      <c r="B84" s="20"/>
    </row>
    <row r="85" spans="2:2" x14ac:dyDescent="0.2">
      <c r="B85" s="20"/>
    </row>
    <row r="86" spans="2:2" x14ac:dyDescent="0.2">
      <c r="B86" s="20"/>
    </row>
    <row r="87" spans="2:2" x14ac:dyDescent="0.2">
      <c r="B87" s="20"/>
    </row>
    <row r="88" spans="2:2" x14ac:dyDescent="0.2">
      <c r="B88" s="20"/>
    </row>
    <row r="89" spans="2:2" x14ac:dyDescent="0.2">
      <c r="B89" s="20"/>
    </row>
    <row r="90" spans="2:2" x14ac:dyDescent="0.2">
      <c r="B90" s="20"/>
    </row>
    <row r="91" spans="2:2" x14ac:dyDescent="0.2">
      <c r="B91" s="20"/>
    </row>
    <row r="92" spans="2:2" x14ac:dyDescent="0.2">
      <c r="B92" s="20"/>
    </row>
    <row r="93" spans="2:2" x14ac:dyDescent="0.2">
      <c r="B93" s="20"/>
    </row>
    <row r="94" spans="2:2" x14ac:dyDescent="0.2">
      <c r="B94" s="20"/>
    </row>
    <row r="95" spans="2:2" x14ac:dyDescent="0.2">
      <c r="B95" s="20"/>
    </row>
    <row r="96" spans="2:2" x14ac:dyDescent="0.2">
      <c r="B96" s="20"/>
    </row>
    <row r="97" spans="2:2" x14ac:dyDescent="0.2">
      <c r="B97" s="20"/>
    </row>
    <row r="98" spans="2:2" x14ac:dyDescent="0.2">
      <c r="B98" s="20"/>
    </row>
    <row r="99" spans="2:2" x14ac:dyDescent="0.2">
      <c r="B99" s="20"/>
    </row>
    <row r="100" spans="2:2" x14ac:dyDescent="0.2">
      <c r="B100" s="20"/>
    </row>
    <row r="101" spans="2:2" x14ac:dyDescent="0.2">
      <c r="B101" s="20"/>
    </row>
    <row r="102" spans="2:2" x14ac:dyDescent="0.2">
      <c r="B102" s="20"/>
    </row>
    <row r="103" spans="2:2" x14ac:dyDescent="0.2">
      <c r="B103" s="20"/>
    </row>
    <row r="104" spans="2:2" x14ac:dyDescent="0.2">
      <c r="B104" s="20"/>
    </row>
    <row r="105" spans="2:2" x14ac:dyDescent="0.2">
      <c r="B105" s="20"/>
    </row>
    <row r="106" spans="2:2" x14ac:dyDescent="0.2">
      <c r="B106" s="20"/>
    </row>
    <row r="107" spans="2:2" x14ac:dyDescent="0.2">
      <c r="B107" s="20"/>
    </row>
    <row r="108" spans="2:2" x14ac:dyDescent="0.2">
      <c r="B108" s="20"/>
    </row>
    <row r="109" spans="2:2" x14ac:dyDescent="0.2">
      <c r="B109" s="20"/>
    </row>
    <row r="110" spans="2:2" x14ac:dyDescent="0.2">
      <c r="B110" s="20"/>
    </row>
    <row r="111" spans="2:2" x14ac:dyDescent="0.2">
      <c r="B111" s="20"/>
    </row>
    <row r="112" spans="2:2" x14ac:dyDescent="0.2">
      <c r="B112" s="20"/>
    </row>
    <row r="113" spans="2:2" x14ac:dyDescent="0.2">
      <c r="B113" s="20"/>
    </row>
    <row r="114" spans="2:2" x14ac:dyDescent="0.2">
      <c r="B114" s="20"/>
    </row>
    <row r="115" spans="2:2" x14ac:dyDescent="0.2">
      <c r="B115" s="20"/>
    </row>
    <row r="116" spans="2:2" x14ac:dyDescent="0.2">
      <c r="B116" s="20"/>
    </row>
    <row r="117" spans="2:2" x14ac:dyDescent="0.2">
      <c r="B117" s="20"/>
    </row>
    <row r="118" spans="2:2" x14ac:dyDescent="0.2">
      <c r="B118" s="20"/>
    </row>
    <row r="119" spans="2:2" x14ac:dyDescent="0.2">
      <c r="B119" s="20"/>
    </row>
    <row r="120" spans="2:2" x14ac:dyDescent="0.2">
      <c r="B120" s="20"/>
    </row>
    <row r="121" spans="2:2" x14ac:dyDescent="0.2">
      <c r="B121" s="20"/>
    </row>
    <row r="122" spans="2:2" x14ac:dyDescent="0.2">
      <c r="B122" s="20"/>
    </row>
    <row r="123" spans="2:2" x14ac:dyDescent="0.2">
      <c r="B123" s="20"/>
    </row>
    <row r="124" spans="2:2" x14ac:dyDescent="0.2">
      <c r="B124" s="20"/>
    </row>
    <row r="125" spans="2:2" x14ac:dyDescent="0.2">
      <c r="B125" s="20"/>
    </row>
    <row r="126" spans="2:2" x14ac:dyDescent="0.2">
      <c r="B126" s="20"/>
    </row>
    <row r="127" spans="2:2" x14ac:dyDescent="0.2">
      <c r="B127" s="20"/>
    </row>
    <row r="128" spans="2:2" x14ac:dyDescent="0.2">
      <c r="B128" s="20"/>
    </row>
    <row r="129" spans="2:2" x14ac:dyDescent="0.2">
      <c r="B129" s="20"/>
    </row>
    <row r="130" spans="2:2" x14ac:dyDescent="0.2">
      <c r="B130" s="20"/>
    </row>
    <row r="131" spans="2:2" x14ac:dyDescent="0.2">
      <c r="B131" s="20"/>
    </row>
    <row r="132" spans="2:2" x14ac:dyDescent="0.2">
      <c r="B132" s="20"/>
    </row>
    <row r="133" spans="2:2" x14ac:dyDescent="0.2">
      <c r="B133" s="20"/>
    </row>
    <row r="134" spans="2:2" x14ac:dyDescent="0.2">
      <c r="B134" s="20"/>
    </row>
    <row r="135" spans="2:2" x14ac:dyDescent="0.2">
      <c r="B135" s="20"/>
    </row>
    <row r="136" spans="2:2" x14ac:dyDescent="0.2">
      <c r="B136" s="20"/>
    </row>
    <row r="137" spans="2:2" x14ac:dyDescent="0.2">
      <c r="B137" s="20"/>
    </row>
    <row r="138" spans="2:2" x14ac:dyDescent="0.2">
      <c r="B138" s="20"/>
    </row>
    <row r="139" spans="2:2" x14ac:dyDescent="0.2">
      <c r="B139" s="20"/>
    </row>
    <row r="140" spans="2:2" x14ac:dyDescent="0.2">
      <c r="B140" s="20"/>
    </row>
  </sheetData>
  <phoneticPr fontId="8" type="noConversion"/>
  <pageMargins left="0.7" right="0.7" top="0.75" bottom="0.75" header="0.3" footer="0.3"/>
  <pageSetup paperSize="0" orientation="portrait" horizontalDpi="4294967292" verticalDpi="429496729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tabColor rgb="FF00B0F0"/>
  </sheetPr>
  <dimension ref="A1:AD61"/>
  <sheetViews>
    <sheetView topLeftCell="F1" workbookViewId="0">
      <selection activeCell="T8" sqref="M8:T17"/>
    </sheetView>
  </sheetViews>
  <sheetFormatPr baseColWidth="10" defaultColWidth="8.83203125" defaultRowHeight="15" x14ac:dyDescent="0.2"/>
  <cols>
    <col min="1" max="1" width="22.5" customWidth="1"/>
    <col min="2" max="2" width="13.33203125" style="4" customWidth="1"/>
    <col min="3" max="3" width="13" style="4" customWidth="1"/>
    <col min="4" max="4" width="12.6640625" style="4" customWidth="1"/>
    <col min="5" max="5" width="13.1640625" style="4" customWidth="1"/>
    <col min="6" max="6" width="3.83203125" customWidth="1"/>
    <col min="7" max="11" width="8.83203125" style="16"/>
    <col min="12" max="12" width="3.83203125" style="16" customWidth="1"/>
    <col min="14" max="15" width="11.5" bestFit="1" customWidth="1"/>
    <col min="16" max="22" width="11.5" customWidth="1"/>
    <col min="28" max="28" width="10.5" customWidth="1"/>
  </cols>
  <sheetData>
    <row r="1" spans="1:30" x14ac:dyDescent="0.2">
      <c r="A1" s="1" t="s">
        <v>38</v>
      </c>
    </row>
    <row r="2" spans="1:30" x14ac:dyDescent="0.2">
      <c r="A2" s="2" t="s">
        <v>104</v>
      </c>
      <c r="G2" s="16" t="s">
        <v>293</v>
      </c>
      <c r="N2" t="s">
        <v>278</v>
      </c>
    </row>
    <row r="3" spans="1:30" s="3" customFormat="1" ht="45" x14ac:dyDescent="0.2">
      <c r="B3" s="5" t="s">
        <v>87</v>
      </c>
      <c r="C3" s="5" t="s">
        <v>88</v>
      </c>
      <c r="D3" s="5" t="s">
        <v>89</v>
      </c>
      <c r="E3" s="5" t="s">
        <v>90</v>
      </c>
      <c r="G3" s="43" t="s">
        <v>133</v>
      </c>
      <c r="H3" s="43" t="s">
        <v>132</v>
      </c>
      <c r="I3" s="43" t="s">
        <v>134</v>
      </c>
      <c r="J3" s="43" t="s">
        <v>135</v>
      </c>
      <c r="K3" s="43" t="s">
        <v>136</v>
      </c>
      <c r="L3" s="43"/>
      <c r="N3" s="3" t="s">
        <v>286</v>
      </c>
      <c r="O3" s="71" t="s">
        <v>263</v>
      </c>
      <c r="P3" s="71" t="s">
        <v>279</v>
      </c>
      <c r="Q3" s="71" t="s">
        <v>280</v>
      </c>
      <c r="R3" s="71" t="s">
        <v>281</v>
      </c>
      <c r="S3" s="71" t="s">
        <v>282</v>
      </c>
      <c r="T3" s="71"/>
      <c r="U3" s="71"/>
      <c r="V3" s="71" t="s">
        <v>283</v>
      </c>
      <c r="W3" s="3" t="s">
        <v>284</v>
      </c>
      <c r="X3" s="3" t="s">
        <v>285</v>
      </c>
      <c r="AA3" s="3" t="s">
        <v>276</v>
      </c>
      <c r="AB3" s="3" t="s">
        <v>277</v>
      </c>
    </row>
    <row r="4" spans="1:30" x14ac:dyDescent="0.2">
      <c r="A4" s="17" t="s">
        <v>109</v>
      </c>
      <c r="B4" s="4">
        <v>88157</v>
      </c>
      <c r="C4" s="4">
        <v>80236</v>
      </c>
      <c r="D4" s="4">
        <v>0</v>
      </c>
      <c r="E4" s="4">
        <f>SUM(B4:D4)</f>
        <v>168393</v>
      </c>
      <c r="G4" s="16">
        <v>0.17100000000000001</v>
      </c>
      <c r="H4" s="16">
        <v>0.32200000000000001</v>
      </c>
      <c r="I4" s="16">
        <v>0.29799999999999999</v>
      </c>
      <c r="J4" s="16">
        <v>0.14099999999999999</v>
      </c>
      <c r="K4" s="16">
        <v>6.8000000000000005E-2</v>
      </c>
      <c r="N4" s="4">
        <f>+'Pop Data'!E4</f>
        <v>60551</v>
      </c>
      <c r="O4" s="4">
        <f>+'Pop Data'!F4+'Pop Data'!G4</f>
        <v>122372</v>
      </c>
      <c r="P4" s="4">
        <f>+'Pop Data'!H4</f>
        <v>62126</v>
      </c>
      <c r="Q4" s="7">
        <f>+N4/SUM(N4:P4)</f>
        <v>0.24709751927165588</v>
      </c>
      <c r="R4" s="7">
        <f>+O4/SUM(N4:P4)</f>
        <v>0.49937767548531109</v>
      </c>
      <c r="S4" s="7">
        <f>+P4/SUM(N4:P4)</f>
        <v>0.253524805243033</v>
      </c>
      <c r="T4" s="4"/>
      <c r="U4" s="16"/>
      <c r="V4" s="77">
        <f>(+Q4*H4)+G4</f>
        <v>0.25056540120547321</v>
      </c>
      <c r="W4" s="77">
        <f>+R4*H4</f>
        <v>0.16079961150627017</v>
      </c>
      <c r="X4" s="16">
        <f>+S4*H4</f>
        <v>8.1634987288256633E-2</v>
      </c>
      <c r="AA4" s="73">
        <f>+X4+I4</f>
        <v>0.37963498728825662</v>
      </c>
      <c r="AB4" s="73">
        <f t="shared" ref="AB4" si="0">+J4+K4</f>
        <v>0.20899999999999999</v>
      </c>
      <c r="AD4" s="87"/>
    </row>
    <row r="5" spans="1:30" x14ac:dyDescent="0.2">
      <c r="A5" s="17" t="s">
        <v>110</v>
      </c>
      <c r="B5" s="4">
        <v>34319</v>
      </c>
      <c r="C5" s="4">
        <v>37604</v>
      </c>
      <c r="D5" s="4">
        <v>0</v>
      </c>
      <c r="E5" s="4">
        <f t="shared" ref="E5:E53" si="1">SUM(B5:D5)</f>
        <v>71923</v>
      </c>
      <c r="G5" s="16">
        <v>0.17799999999999999</v>
      </c>
      <c r="H5" s="16">
        <v>0.27200000000000002</v>
      </c>
      <c r="I5" s="16">
        <v>0.29499999999999998</v>
      </c>
      <c r="J5" s="16">
        <v>0.16800000000000001</v>
      </c>
      <c r="K5" s="16">
        <v>8.6999999999999994E-2</v>
      </c>
      <c r="N5" s="4">
        <f>+'Pop Data'!E5</f>
        <v>10516</v>
      </c>
      <c r="O5" s="4">
        <f>+'Pop Data'!F5+'Pop Data'!G5</f>
        <v>21539</v>
      </c>
      <c r="P5" s="4">
        <f>+'Pop Data'!H5</f>
        <v>10617</v>
      </c>
      <c r="Q5" s="7">
        <f t="shared" ref="Q5:Q53" si="2">+N5/SUM(N5:P5)</f>
        <v>0.2464379452568429</v>
      </c>
      <c r="R5" s="7">
        <f t="shared" ref="R5:R53" si="3">+O5/SUM(N5:P5)</f>
        <v>0.50475721784776906</v>
      </c>
      <c r="S5" s="7">
        <f t="shared" ref="S5:S53" si="4">+P5/SUM(N5:P5)</f>
        <v>0.24880483689538807</v>
      </c>
      <c r="T5" s="4"/>
      <c r="U5" s="4"/>
      <c r="V5" s="78">
        <f>(+Q5*H5)+G5</f>
        <v>0.24503112110986125</v>
      </c>
      <c r="W5" s="78">
        <f>+R5*H5</f>
        <v>0.1372939632545932</v>
      </c>
      <c r="X5" s="78">
        <f>+S5*H5</f>
        <v>6.7674915635545563E-2</v>
      </c>
      <c r="Y5" s="69"/>
      <c r="Z5" s="69"/>
      <c r="AA5" s="79">
        <f>+X5+I5</f>
        <v>0.36267491563554555</v>
      </c>
      <c r="AB5" s="79">
        <f>1-V5-W5-AA5</f>
        <v>0.255</v>
      </c>
      <c r="AD5" s="87"/>
    </row>
    <row r="6" spans="1:30" x14ac:dyDescent="0.2">
      <c r="A6" s="17" t="s">
        <v>111</v>
      </c>
      <c r="B6" s="4">
        <v>202382</v>
      </c>
      <c r="C6" s="4">
        <v>123512</v>
      </c>
      <c r="D6" s="4">
        <v>0</v>
      </c>
      <c r="E6" s="4">
        <f t="shared" si="1"/>
        <v>325894</v>
      </c>
      <c r="G6" s="16">
        <v>0.13500000000000001</v>
      </c>
      <c r="H6" s="16">
        <v>0.28999999999999998</v>
      </c>
      <c r="I6" s="16">
        <v>0.312</v>
      </c>
      <c r="J6" s="16">
        <v>0.17399999999999999</v>
      </c>
      <c r="K6" s="16">
        <v>0.09</v>
      </c>
      <c r="N6" s="4">
        <f>+'Pop Data'!E6</f>
        <v>87712</v>
      </c>
      <c r="O6" s="4">
        <f>+'Pop Data'!F6+'Pop Data'!G6</f>
        <v>181991</v>
      </c>
      <c r="P6" s="4">
        <f>+'Pop Data'!H6</f>
        <v>93700</v>
      </c>
      <c r="Q6" s="7">
        <f t="shared" si="2"/>
        <v>0.24136289463763369</v>
      </c>
      <c r="R6" s="7">
        <f t="shared" si="3"/>
        <v>0.50079663624130788</v>
      </c>
      <c r="S6" s="7">
        <f t="shared" si="4"/>
        <v>0.25784046912105846</v>
      </c>
      <c r="T6" s="4"/>
      <c r="U6" s="4"/>
      <c r="V6" s="78">
        <f t="shared" ref="V6:V53" si="5">(+Q6*H6)+G6</f>
        <v>0.20499523944491377</v>
      </c>
      <c r="W6" s="78">
        <f t="shared" ref="W6:W53" si="6">+R6*H6</f>
        <v>0.14523102450997927</v>
      </c>
      <c r="X6" s="78">
        <f t="shared" ref="X6:X53" si="7">+S6*H6</f>
        <v>7.4773736045106953E-2</v>
      </c>
      <c r="Y6" s="69"/>
      <c r="Z6" s="69"/>
      <c r="AA6" s="79">
        <f t="shared" ref="AA6:AA53" si="8">+X6+I6</f>
        <v>0.38677373604510695</v>
      </c>
      <c r="AB6" s="79">
        <f t="shared" ref="AB6:AB53" si="9">1-V6-W6-AA6</f>
        <v>0.26300000000000007</v>
      </c>
      <c r="AD6" s="87"/>
    </row>
    <row r="7" spans="1:30" x14ac:dyDescent="0.2">
      <c r="A7" s="17" t="s">
        <v>112</v>
      </c>
      <c r="B7" s="4">
        <v>76645</v>
      </c>
      <c r="C7" s="4">
        <v>97950</v>
      </c>
      <c r="D7" s="4">
        <v>0</v>
      </c>
      <c r="E7" s="4">
        <f t="shared" si="1"/>
        <v>174595</v>
      </c>
      <c r="G7" s="16">
        <v>0.161</v>
      </c>
      <c r="H7" s="16">
        <v>0.35599999999999998</v>
      </c>
      <c r="I7" s="16">
        <v>0.28000000000000003</v>
      </c>
      <c r="J7" s="16">
        <v>0.13900000000000001</v>
      </c>
      <c r="K7" s="16">
        <v>6.3E-2</v>
      </c>
      <c r="N7" s="4">
        <f>+'Pop Data'!E7</f>
        <v>38887</v>
      </c>
      <c r="O7" s="4">
        <f>+'Pop Data'!F7+'Pop Data'!G7</f>
        <v>79070</v>
      </c>
      <c r="P7" s="4">
        <f>+'Pop Data'!H7</f>
        <v>41016</v>
      </c>
      <c r="Q7" s="7">
        <f t="shared" si="2"/>
        <v>0.24461386524755777</v>
      </c>
      <c r="R7" s="7">
        <f t="shared" si="3"/>
        <v>0.49738005824888504</v>
      </c>
      <c r="S7" s="7">
        <f t="shared" si="4"/>
        <v>0.25800607650355722</v>
      </c>
      <c r="T7" s="4"/>
      <c r="U7" s="4"/>
      <c r="V7" s="78">
        <f t="shared" si="5"/>
        <v>0.24808253602813057</v>
      </c>
      <c r="W7" s="78">
        <f t="shared" si="6"/>
        <v>0.17706730073660307</v>
      </c>
      <c r="X7" s="78">
        <f t="shared" si="7"/>
        <v>9.1850163235266374E-2</v>
      </c>
      <c r="Y7" s="69"/>
      <c r="Z7" s="69"/>
      <c r="AA7" s="79">
        <f t="shared" si="8"/>
        <v>0.37185016323526643</v>
      </c>
      <c r="AB7" s="79">
        <f t="shared" si="9"/>
        <v>0.20299999999999996</v>
      </c>
      <c r="AD7" s="87"/>
    </row>
    <row r="8" spans="1:30" x14ac:dyDescent="0.2">
      <c r="A8" s="17" t="s">
        <v>113</v>
      </c>
      <c r="B8" s="4">
        <v>3215338</v>
      </c>
      <c r="C8" s="4">
        <v>2900029</v>
      </c>
      <c r="D8" s="4">
        <v>0</v>
      </c>
      <c r="E8" s="4">
        <f t="shared" si="1"/>
        <v>6115367</v>
      </c>
      <c r="G8" s="16">
        <v>0.13600000000000001</v>
      </c>
      <c r="H8" s="16">
        <v>0.27200000000000002</v>
      </c>
      <c r="I8" s="16">
        <v>0.31900000000000001</v>
      </c>
      <c r="J8" s="16">
        <v>0.184</v>
      </c>
      <c r="K8" s="16">
        <v>8.8999999999999996E-2</v>
      </c>
      <c r="N8" s="4">
        <f>+'Pop Data'!E8</f>
        <v>497465</v>
      </c>
      <c r="O8" s="4">
        <f>+'Pop Data'!F8+'Pop Data'!G8</f>
        <v>1014094</v>
      </c>
      <c r="P8" s="4">
        <f>+'Pop Data'!H8</f>
        <v>517963</v>
      </c>
      <c r="Q8" s="7">
        <f t="shared" si="2"/>
        <v>0.24511436683120458</v>
      </c>
      <c r="R8" s="7">
        <f t="shared" si="3"/>
        <v>0.49967135118515593</v>
      </c>
      <c r="S8" s="7">
        <f t="shared" si="4"/>
        <v>0.25521428198363949</v>
      </c>
      <c r="T8" s="4"/>
      <c r="U8" s="4"/>
      <c r="V8" s="78">
        <f t="shared" si="5"/>
        <v>0.20267110777808767</v>
      </c>
      <c r="W8" s="78">
        <f t="shared" si="6"/>
        <v>0.13591060752236242</v>
      </c>
      <c r="X8" s="78">
        <f t="shared" si="7"/>
        <v>6.9418284699549943E-2</v>
      </c>
      <c r="Y8" s="69"/>
      <c r="Z8" s="69"/>
      <c r="AA8" s="79">
        <f t="shared" si="8"/>
        <v>0.38841828469954998</v>
      </c>
      <c r="AB8" s="79">
        <f t="shared" si="9"/>
        <v>0.27300000000000002</v>
      </c>
      <c r="AD8" s="87"/>
    </row>
    <row r="9" spans="1:30" x14ac:dyDescent="0.2">
      <c r="A9" s="17" t="s">
        <v>115</v>
      </c>
      <c r="B9" s="4">
        <v>176740</v>
      </c>
      <c r="C9" s="4">
        <v>129733</v>
      </c>
      <c r="D9" s="4">
        <v>-3344</v>
      </c>
      <c r="E9" s="4">
        <f t="shared" si="1"/>
        <v>303129</v>
      </c>
      <c r="G9" s="16">
        <v>0.14599999999999999</v>
      </c>
      <c r="H9" s="16">
        <v>0.3</v>
      </c>
      <c r="I9" s="16">
        <v>0.33600000000000002</v>
      </c>
      <c r="J9" s="16">
        <v>0.152</v>
      </c>
      <c r="K9" s="16">
        <v>6.5000000000000002E-2</v>
      </c>
      <c r="N9" s="4">
        <f>+'Pop Data'!E9</f>
        <v>67713</v>
      </c>
      <c r="O9" s="4">
        <f>+'Pop Data'!F9+'Pop Data'!G9</f>
        <v>138231</v>
      </c>
      <c r="P9" s="4">
        <f>+'Pop Data'!H9</f>
        <v>71043</v>
      </c>
      <c r="Q9" s="7">
        <f t="shared" si="2"/>
        <v>0.24446273651832034</v>
      </c>
      <c r="R9" s="7">
        <f t="shared" si="3"/>
        <v>0.49905230209360008</v>
      </c>
      <c r="S9" s="7">
        <f t="shared" si="4"/>
        <v>0.25648496138807958</v>
      </c>
      <c r="T9" s="4"/>
      <c r="U9" s="4"/>
      <c r="V9" s="78">
        <f t="shared" si="5"/>
        <v>0.21933882095549609</v>
      </c>
      <c r="W9" s="78">
        <f t="shared" si="6"/>
        <v>0.14971569062808002</v>
      </c>
      <c r="X9" s="78">
        <f t="shared" si="7"/>
        <v>7.6945488416423874E-2</v>
      </c>
      <c r="Y9" s="69"/>
      <c r="Z9" s="69"/>
      <c r="AA9" s="79">
        <f t="shared" si="8"/>
        <v>0.41294548841642387</v>
      </c>
      <c r="AB9" s="79">
        <f t="shared" si="9"/>
        <v>0.21800000000000008</v>
      </c>
      <c r="AD9" s="87"/>
    </row>
    <row r="10" spans="1:30" x14ac:dyDescent="0.2">
      <c r="A10" s="17" t="s">
        <v>114</v>
      </c>
      <c r="B10" s="4">
        <v>241122</v>
      </c>
      <c r="C10" s="4">
        <v>225866</v>
      </c>
      <c r="D10" s="4">
        <v>0</v>
      </c>
      <c r="E10" s="4">
        <f t="shared" si="1"/>
        <v>466988</v>
      </c>
      <c r="G10" s="16">
        <v>0.192</v>
      </c>
      <c r="H10" s="16">
        <v>0.28899999999999998</v>
      </c>
      <c r="I10" s="16">
        <v>0.27100000000000002</v>
      </c>
      <c r="J10" s="16">
        <v>0.156</v>
      </c>
      <c r="K10" s="16">
        <v>9.2999999999999999E-2</v>
      </c>
      <c r="N10" s="4">
        <f>+'Pop Data'!E10</f>
        <v>38710</v>
      </c>
      <c r="O10" s="4">
        <f>+'Pop Data'!F10+'Pop Data'!G10</f>
        <v>80255</v>
      </c>
      <c r="P10" s="4">
        <f>+'Pop Data'!H10</f>
        <v>42146</v>
      </c>
      <c r="Q10" s="7">
        <f t="shared" si="2"/>
        <v>0.2402691312200905</v>
      </c>
      <c r="R10" s="7">
        <f t="shared" si="3"/>
        <v>0.49813482629988021</v>
      </c>
      <c r="S10" s="7">
        <f t="shared" si="4"/>
        <v>0.26159604248002932</v>
      </c>
      <c r="T10" s="4"/>
      <c r="U10" s="4"/>
      <c r="V10" s="78">
        <f t="shared" si="5"/>
        <v>0.26143777892260617</v>
      </c>
      <c r="W10" s="78">
        <f t="shared" si="6"/>
        <v>0.14396096480066536</v>
      </c>
      <c r="X10" s="78">
        <f t="shared" si="7"/>
        <v>7.5601256276728465E-2</v>
      </c>
      <c r="Y10" s="69"/>
      <c r="Z10" s="69"/>
      <c r="AA10" s="79">
        <f t="shared" si="8"/>
        <v>0.3466012562767285</v>
      </c>
      <c r="AB10" s="79">
        <f t="shared" si="9"/>
        <v>0.24800000000000005</v>
      </c>
      <c r="AD10" s="87"/>
    </row>
    <row r="11" spans="1:30" x14ac:dyDescent="0.2">
      <c r="A11" s="17" t="s">
        <v>42</v>
      </c>
      <c r="B11" s="4">
        <v>28394</v>
      </c>
      <c r="C11" s="4">
        <v>59673</v>
      </c>
      <c r="D11" s="4">
        <v>0</v>
      </c>
      <c r="E11" s="4">
        <f t="shared" si="1"/>
        <v>88067</v>
      </c>
      <c r="G11" s="16">
        <v>0.185</v>
      </c>
      <c r="H11" s="16">
        <v>0.28399999999999997</v>
      </c>
      <c r="I11" s="16">
        <v>0.311</v>
      </c>
      <c r="J11" s="16">
        <v>0.14799999999999999</v>
      </c>
      <c r="K11" s="16">
        <v>7.1999999999999995E-2</v>
      </c>
      <c r="N11" s="4">
        <f>+'Pop Data'!E11</f>
        <v>11140</v>
      </c>
      <c r="O11" s="4">
        <f>+'Pop Data'!F11+'Pop Data'!G11</f>
        <v>22350</v>
      </c>
      <c r="P11" s="4">
        <f>+'Pop Data'!H11</f>
        <v>11464</v>
      </c>
      <c r="Q11" s="7">
        <f t="shared" si="2"/>
        <v>0.24780887129065265</v>
      </c>
      <c r="R11" s="7">
        <f t="shared" si="3"/>
        <v>0.49717488988744052</v>
      </c>
      <c r="S11" s="7">
        <f t="shared" si="4"/>
        <v>0.25501623882190683</v>
      </c>
      <c r="T11" s="4"/>
      <c r="U11" s="4"/>
      <c r="V11" s="78">
        <f t="shared" si="5"/>
        <v>0.25537771944654536</v>
      </c>
      <c r="W11" s="78">
        <f t="shared" si="6"/>
        <v>0.1411976687280331</v>
      </c>
      <c r="X11" s="78">
        <f t="shared" si="7"/>
        <v>7.2424611825421537E-2</v>
      </c>
      <c r="Y11" s="69"/>
      <c r="Z11" s="69"/>
      <c r="AA11" s="79">
        <f t="shared" si="8"/>
        <v>0.38342461182542154</v>
      </c>
      <c r="AB11" s="79">
        <f t="shared" si="9"/>
        <v>0.21999999999999997</v>
      </c>
      <c r="AD11" s="87"/>
    </row>
    <row r="12" spans="1:30" x14ac:dyDescent="0.2">
      <c r="A12" s="17" t="s">
        <v>116</v>
      </c>
      <c r="B12" s="4">
        <v>398293</v>
      </c>
      <c r="C12" s="4">
        <v>415490</v>
      </c>
      <c r="D12" s="4">
        <v>0</v>
      </c>
      <c r="E12" s="4">
        <f t="shared" si="1"/>
        <v>813783</v>
      </c>
      <c r="G12" s="16">
        <v>0.125</v>
      </c>
      <c r="H12" s="16">
        <v>0.27700000000000002</v>
      </c>
      <c r="I12" s="16">
        <v>0.32300000000000001</v>
      </c>
      <c r="J12" s="16">
        <v>0.18099999999999999</v>
      </c>
      <c r="K12" s="16">
        <v>9.4E-2</v>
      </c>
      <c r="N12" s="4">
        <f>+'Pop Data'!E12</f>
        <v>211942</v>
      </c>
      <c r="O12" s="4">
        <f>+'Pop Data'!F12+'Pop Data'!G12</f>
        <v>433899</v>
      </c>
      <c r="P12" s="4">
        <f>+'Pop Data'!H12</f>
        <v>222866</v>
      </c>
      <c r="Q12" s="7">
        <f t="shared" si="2"/>
        <v>0.24397409022835087</v>
      </c>
      <c r="R12" s="7">
        <f t="shared" si="3"/>
        <v>0.49947680863628358</v>
      </c>
      <c r="S12" s="7">
        <f t="shared" si="4"/>
        <v>0.25654910113536555</v>
      </c>
      <c r="T12" s="4"/>
      <c r="U12" s="4"/>
      <c r="V12" s="78">
        <f t="shared" si="5"/>
        <v>0.19258082299325319</v>
      </c>
      <c r="W12" s="78">
        <f t="shared" si="6"/>
        <v>0.13835507599225055</v>
      </c>
      <c r="X12" s="78">
        <f t="shared" si="7"/>
        <v>7.106410101449627E-2</v>
      </c>
      <c r="Y12" s="69"/>
      <c r="Z12" s="69"/>
      <c r="AA12" s="79">
        <f t="shared" si="8"/>
        <v>0.39406410101449629</v>
      </c>
      <c r="AB12" s="79">
        <f t="shared" si="9"/>
        <v>0.27499999999999991</v>
      </c>
      <c r="AD12" s="87"/>
    </row>
    <row r="13" spans="1:30" x14ac:dyDescent="0.2">
      <c r="A13" s="17" t="s">
        <v>117</v>
      </c>
      <c r="B13" s="4">
        <v>349311</v>
      </c>
      <c r="C13" s="4">
        <v>173369</v>
      </c>
      <c r="D13" s="4">
        <v>0</v>
      </c>
      <c r="E13" s="4">
        <f t="shared" si="1"/>
        <v>522680</v>
      </c>
      <c r="G13" s="16">
        <v>0.111</v>
      </c>
      <c r="H13" s="16">
        <v>0.25</v>
      </c>
      <c r="I13" s="16">
        <v>0.32800000000000001</v>
      </c>
      <c r="J13" s="16">
        <v>0.19800000000000001</v>
      </c>
      <c r="K13" s="16">
        <v>0.112</v>
      </c>
      <c r="N13" s="4">
        <f>+'Pop Data'!E13</f>
        <v>134873</v>
      </c>
      <c r="O13" s="4">
        <f>+'Pop Data'!F13+'Pop Data'!G13</f>
        <v>275864</v>
      </c>
      <c r="P13" s="4">
        <f>+'Pop Data'!H13</f>
        <v>141737</v>
      </c>
      <c r="Q13" s="7">
        <f t="shared" si="2"/>
        <v>0.24412551540886993</v>
      </c>
      <c r="R13" s="7">
        <f t="shared" si="3"/>
        <v>0.49932485510630364</v>
      </c>
      <c r="S13" s="7">
        <f t="shared" si="4"/>
        <v>0.25654962948482646</v>
      </c>
      <c r="T13" s="4"/>
      <c r="U13" s="4"/>
      <c r="V13" s="78">
        <f t="shared" si="5"/>
        <v>0.17203137885221748</v>
      </c>
      <c r="W13" s="78">
        <f t="shared" si="6"/>
        <v>0.12483121377657591</v>
      </c>
      <c r="X13" s="78">
        <f t="shared" si="7"/>
        <v>6.4137407371206615E-2</v>
      </c>
      <c r="Y13" s="69"/>
      <c r="Z13" s="69"/>
      <c r="AA13" s="79">
        <f t="shared" si="8"/>
        <v>0.39213740737120661</v>
      </c>
      <c r="AB13" s="79">
        <f t="shared" si="9"/>
        <v>0.31100000000000005</v>
      </c>
      <c r="AD13" s="87"/>
    </row>
    <row r="14" spans="1:30" x14ac:dyDescent="0.2">
      <c r="A14" s="17" t="s">
        <v>118</v>
      </c>
      <c r="B14" s="4">
        <v>59275</v>
      </c>
      <c r="C14" s="4">
        <v>182845</v>
      </c>
      <c r="E14" s="4">
        <f t="shared" si="1"/>
        <v>242120</v>
      </c>
      <c r="G14" s="16">
        <v>0.186</v>
      </c>
      <c r="H14" s="16">
        <v>0.30099999999999999</v>
      </c>
      <c r="I14" s="16">
        <v>0.28599999999999998</v>
      </c>
      <c r="J14" s="16">
        <v>0.14799999999999999</v>
      </c>
      <c r="K14" s="16">
        <v>7.8E-2</v>
      </c>
      <c r="N14" s="4">
        <f>+'Pop Data'!E14</f>
        <v>17549</v>
      </c>
      <c r="O14" s="4">
        <f>+'Pop Data'!F14+'Pop Data'!G14</f>
        <v>35116</v>
      </c>
      <c r="P14" s="4">
        <f>+'Pop Data'!H14</f>
        <v>17189</v>
      </c>
      <c r="Q14" s="7">
        <f t="shared" si="2"/>
        <v>0.25122398144701807</v>
      </c>
      <c r="R14" s="7">
        <f t="shared" si="3"/>
        <v>0.5027056431986715</v>
      </c>
      <c r="S14" s="7">
        <f t="shared" si="4"/>
        <v>0.24607037535431042</v>
      </c>
      <c r="T14" s="4"/>
      <c r="U14" s="4"/>
      <c r="V14" s="78">
        <f t="shared" si="5"/>
        <v>0.26161841841555245</v>
      </c>
      <c r="W14" s="78">
        <f t="shared" si="6"/>
        <v>0.1513143986028001</v>
      </c>
      <c r="X14" s="78">
        <f t="shared" si="7"/>
        <v>7.4067182981647439E-2</v>
      </c>
      <c r="Y14" s="69"/>
      <c r="Z14" s="69"/>
      <c r="AA14" s="79">
        <f t="shared" si="8"/>
        <v>0.36006718298164742</v>
      </c>
      <c r="AB14" s="79">
        <f t="shared" si="9"/>
        <v>0.22699999999999998</v>
      </c>
      <c r="AD14" s="87"/>
    </row>
    <row r="15" spans="1:30" x14ac:dyDescent="0.2">
      <c r="A15" s="17" t="s">
        <v>119</v>
      </c>
      <c r="B15" s="4">
        <v>20703</v>
      </c>
      <c r="C15" s="4">
        <v>13190</v>
      </c>
      <c r="E15" s="4">
        <f t="shared" si="1"/>
        <v>33893</v>
      </c>
      <c r="G15" s="16">
        <v>6.8000000000000005E-2</v>
      </c>
      <c r="H15" s="16">
        <v>0.223</v>
      </c>
      <c r="I15" s="16">
        <v>0.373</v>
      </c>
      <c r="J15" s="16">
        <v>0.217</v>
      </c>
      <c r="K15" s="16">
        <v>0.11799999999999999</v>
      </c>
      <c r="N15" s="4">
        <f>+'Pop Data'!E15</f>
        <v>23017.255346635771</v>
      </c>
      <c r="O15" s="4">
        <f>+'Pop Data'!F15+'Pop Data'!G15</f>
        <v>46800.140889662624</v>
      </c>
      <c r="P15" s="4">
        <f>+'Pop Data'!H15</f>
        <v>23896.623961808466</v>
      </c>
      <c r="Q15" s="7">
        <f t="shared" si="2"/>
        <v>0.24561165232244242</v>
      </c>
      <c r="R15" s="7">
        <f t="shared" si="3"/>
        <v>0.49939316220485908</v>
      </c>
      <c r="S15" s="7">
        <f t="shared" si="4"/>
        <v>0.25499518547269839</v>
      </c>
      <c r="T15" s="4"/>
      <c r="U15" s="4"/>
      <c r="V15" s="78">
        <f t="shared" si="5"/>
        <v>0.12277139846790466</v>
      </c>
      <c r="W15" s="78">
        <f t="shared" si="6"/>
        <v>0.11136467517168358</v>
      </c>
      <c r="X15" s="78">
        <f t="shared" si="7"/>
        <v>5.6863926360411744E-2</v>
      </c>
      <c r="Y15" s="69"/>
      <c r="Z15" s="69"/>
      <c r="AA15" s="79">
        <f t="shared" si="8"/>
        <v>0.42986392636041176</v>
      </c>
      <c r="AB15" s="79">
        <f t="shared" si="9"/>
        <v>0.33600000000000002</v>
      </c>
      <c r="AD15" s="87"/>
    </row>
    <row r="16" spans="1:30" x14ac:dyDescent="0.2">
      <c r="A16" s="17" t="s">
        <v>120</v>
      </c>
      <c r="B16" s="4">
        <v>584406</v>
      </c>
      <c r="C16" s="4">
        <v>600106</v>
      </c>
      <c r="E16" s="4">
        <f t="shared" si="1"/>
        <v>1184512</v>
      </c>
      <c r="G16" s="16">
        <v>0.111</v>
      </c>
      <c r="H16" s="16">
        <v>0.308</v>
      </c>
      <c r="I16" s="16">
        <v>0.318</v>
      </c>
      <c r="J16" s="16">
        <v>0.17299999999999999</v>
      </c>
      <c r="K16" s="16">
        <v>8.8999999999999996E-2</v>
      </c>
      <c r="N16" s="4">
        <f>+'Pop Data'!E16</f>
        <v>161814</v>
      </c>
      <c r="O16" s="4">
        <f>+'Pop Data'!F16+'Pop Data'!G16</f>
        <v>329918</v>
      </c>
      <c r="P16" s="4">
        <f>+'Pop Data'!H16</f>
        <v>168693</v>
      </c>
      <c r="Q16" s="7">
        <f t="shared" si="2"/>
        <v>0.24501495249271302</v>
      </c>
      <c r="R16" s="7">
        <f t="shared" si="3"/>
        <v>0.49955407502744442</v>
      </c>
      <c r="S16" s="7">
        <f t="shared" si="4"/>
        <v>0.25543097247984253</v>
      </c>
      <c r="T16" s="4"/>
      <c r="U16" s="4"/>
      <c r="V16" s="78">
        <f t="shared" si="5"/>
        <v>0.18646460536775561</v>
      </c>
      <c r="W16" s="78">
        <f t="shared" si="6"/>
        <v>0.15386265510845287</v>
      </c>
      <c r="X16" s="78">
        <f t="shared" si="7"/>
        <v>7.8672739523791502E-2</v>
      </c>
      <c r="Y16" s="69"/>
      <c r="Z16" s="69"/>
      <c r="AA16" s="79">
        <f t="shared" si="8"/>
        <v>0.39667273952379151</v>
      </c>
      <c r="AB16" s="79">
        <f t="shared" si="9"/>
        <v>0.26299999999999996</v>
      </c>
      <c r="AD16" s="87"/>
    </row>
    <row r="17" spans="1:30" x14ac:dyDescent="0.2">
      <c r="A17" s="17" t="s">
        <v>121</v>
      </c>
      <c r="B17" s="4">
        <v>101225</v>
      </c>
      <c r="C17" s="4">
        <v>121094</v>
      </c>
      <c r="E17" s="4">
        <f t="shared" si="1"/>
        <v>222319</v>
      </c>
      <c r="G17" s="16">
        <v>0.16400000000000001</v>
      </c>
      <c r="H17" s="16">
        <v>0.28699999999999998</v>
      </c>
      <c r="I17" s="16">
        <v>0.317</v>
      </c>
      <c r="J17" s="16">
        <v>0.16200000000000001</v>
      </c>
      <c r="K17" s="16">
        <v>7.0999999999999994E-2</v>
      </c>
      <c r="N17" s="4">
        <f>+'Pop Data'!E17</f>
        <v>84963</v>
      </c>
      <c r="O17" s="4">
        <f>+'Pop Data'!F17+'Pop Data'!G17</f>
        <v>172760</v>
      </c>
      <c r="P17" s="4">
        <f>+'Pop Data'!H17</f>
        <v>89004</v>
      </c>
      <c r="Q17" s="7">
        <f t="shared" si="2"/>
        <v>0.24504293002852387</v>
      </c>
      <c r="R17" s="7">
        <f t="shared" si="3"/>
        <v>0.49825943754019736</v>
      </c>
      <c r="S17" s="7">
        <f t="shared" si="4"/>
        <v>0.2566976324312788</v>
      </c>
      <c r="T17" s="4"/>
      <c r="U17" s="4"/>
      <c r="V17" s="78">
        <f t="shared" si="5"/>
        <v>0.23432732091818637</v>
      </c>
      <c r="W17" s="78">
        <f t="shared" si="6"/>
        <v>0.14300045857403662</v>
      </c>
      <c r="X17" s="78">
        <f t="shared" si="7"/>
        <v>7.3672220507777011E-2</v>
      </c>
      <c r="Y17" s="69"/>
      <c r="Z17" s="69"/>
      <c r="AA17" s="79">
        <f t="shared" si="8"/>
        <v>0.390672220507777</v>
      </c>
      <c r="AB17" s="79">
        <f t="shared" si="9"/>
        <v>0.23199999999999993</v>
      </c>
      <c r="AD17" s="87"/>
    </row>
    <row r="18" spans="1:30" x14ac:dyDescent="0.2">
      <c r="A18" s="17" t="s">
        <v>122</v>
      </c>
      <c r="B18" s="4">
        <v>91570</v>
      </c>
      <c r="C18" s="4">
        <v>99255</v>
      </c>
      <c r="E18" s="4">
        <f t="shared" si="1"/>
        <v>190825</v>
      </c>
      <c r="G18" s="16">
        <v>0.188</v>
      </c>
      <c r="H18" s="16">
        <v>0.33100000000000002</v>
      </c>
      <c r="I18" s="16">
        <v>0.28599999999999998</v>
      </c>
      <c r="J18" s="16">
        <v>0.13400000000000001</v>
      </c>
      <c r="K18" s="16">
        <v>0.06</v>
      </c>
      <c r="N18" s="4">
        <f>+'Pop Data'!E18</f>
        <v>39618</v>
      </c>
      <c r="O18" s="4">
        <f>+'Pop Data'!F18+'Pop Data'!G18</f>
        <v>80846</v>
      </c>
      <c r="P18" s="4">
        <f>+'Pop Data'!H18</f>
        <v>41387</v>
      </c>
      <c r="Q18" s="7">
        <f t="shared" si="2"/>
        <v>0.24478069335376365</v>
      </c>
      <c r="R18" s="7">
        <f t="shared" si="3"/>
        <v>0.49950880748342613</v>
      </c>
      <c r="S18" s="7">
        <f t="shared" si="4"/>
        <v>0.25571049916281025</v>
      </c>
      <c r="T18" s="4"/>
      <c r="U18" s="4"/>
      <c r="V18" s="78">
        <f t="shared" si="5"/>
        <v>0.26902240950009576</v>
      </c>
      <c r="W18" s="78">
        <f t="shared" si="6"/>
        <v>0.16533741527701407</v>
      </c>
      <c r="X18" s="78">
        <f t="shared" si="7"/>
        <v>8.464017522289019E-2</v>
      </c>
      <c r="Y18" s="69"/>
      <c r="Z18" s="69"/>
      <c r="AA18" s="79">
        <f t="shared" si="8"/>
        <v>0.37064017522289017</v>
      </c>
      <c r="AB18" s="79">
        <f t="shared" si="9"/>
        <v>0.19500000000000006</v>
      </c>
      <c r="AD18" s="87"/>
    </row>
    <row r="19" spans="1:30" x14ac:dyDescent="0.2">
      <c r="A19" s="17" t="s">
        <v>123</v>
      </c>
      <c r="B19" s="4">
        <v>61530</v>
      </c>
      <c r="C19" s="4">
        <v>97572</v>
      </c>
      <c r="E19" s="4">
        <f t="shared" si="1"/>
        <v>159102</v>
      </c>
      <c r="G19" s="16">
        <v>0.20200000000000001</v>
      </c>
      <c r="H19" s="16">
        <v>0.318</v>
      </c>
      <c r="I19" s="16">
        <v>0.29599999999999999</v>
      </c>
      <c r="J19" s="16">
        <v>0.13</v>
      </c>
      <c r="K19" s="16">
        <v>5.3999999999999999E-2</v>
      </c>
      <c r="N19" s="4">
        <f>+'Pop Data'!E19</f>
        <v>40875</v>
      </c>
      <c r="O19" s="4">
        <f>+'Pop Data'!F19+'Pop Data'!G19</f>
        <v>81814</v>
      </c>
      <c r="P19" s="4">
        <f>+'Pop Data'!H19</f>
        <v>41135</v>
      </c>
      <c r="Q19" s="7">
        <f t="shared" si="2"/>
        <v>0.24950556694989745</v>
      </c>
      <c r="R19" s="7">
        <f t="shared" si="3"/>
        <v>0.4994017970504932</v>
      </c>
      <c r="S19" s="7">
        <f t="shared" si="4"/>
        <v>0.25109263599960935</v>
      </c>
      <c r="T19" s="4"/>
      <c r="U19" s="4"/>
      <c r="V19" s="78">
        <f t="shared" si="5"/>
        <v>0.28134277029006738</v>
      </c>
      <c r="W19" s="78">
        <f t="shared" si="6"/>
        <v>0.15880977146205685</v>
      </c>
      <c r="X19" s="78">
        <f t="shared" si="7"/>
        <v>7.9847458247875772E-2</v>
      </c>
      <c r="Y19" s="69"/>
      <c r="Z19" s="69"/>
      <c r="AA19" s="79">
        <f t="shared" si="8"/>
        <v>0.37584745824787574</v>
      </c>
      <c r="AB19" s="79">
        <f t="shared" si="9"/>
        <v>0.184</v>
      </c>
      <c r="AD19" s="87"/>
    </row>
    <row r="20" spans="1:30" x14ac:dyDescent="0.2">
      <c r="A20" s="17" t="s">
        <v>124</v>
      </c>
      <c r="B20" s="4">
        <v>166487</v>
      </c>
      <c r="C20" s="4">
        <v>93145</v>
      </c>
      <c r="E20" s="4">
        <f t="shared" si="1"/>
        <v>259632</v>
      </c>
      <c r="G20" s="16">
        <v>0.156</v>
      </c>
      <c r="H20" s="16">
        <v>0.31</v>
      </c>
      <c r="I20" s="16">
        <v>0.313</v>
      </c>
      <c r="J20" s="16">
        <v>0.152</v>
      </c>
      <c r="K20" s="16">
        <v>6.9000000000000006E-2</v>
      </c>
      <c r="N20" s="4">
        <f>+'Pop Data'!E20</f>
        <v>55509</v>
      </c>
      <c r="O20" s="4">
        <f>+'Pop Data'!F20+'Pop Data'!G20</f>
        <v>112473</v>
      </c>
      <c r="P20" s="4">
        <f>+'Pop Data'!H20</f>
        <v>57432</v>
      </c>
      <c r="Q20" s="7">
        <f t="shared" si="2"/>
        <v>0.24625356011605312</v>
      </c>
      <c r="R20" s="7">
        <f t="shared" si="3"/>
        <v>0.49896191008544277</v>
      </c>
      <c r="S20" s="7">
        <f t="shared" si="4"/>
        <v>0.25478452979850408</v>
      </c>
      <c r="T20" s="4"/>
      <c r="U20" s="4"/>
      <c r="V20" s="78">
        <f t="shared" si="5"/>
        <v>0.23233860363597647</v>
      </c>
      <c r="W20" s="78">
        <f t="shared" si="6"/>
        <v>0.15467819212648726</v>
      </c>
      <c r="X20" s="78">
        <f t="shared" si="7"/>
        <v>7.898320423753627E-2</v>
      </c>
      <c r="Y20" s="69"/>
      <c r="Z20" s="69"/>
      <c r="AA20" s="79">
        <f t="shared" si="8"/>
        <v>0.3919832042375363</v>
      </c>
      <c r="AB20" s="79">
        <f t="shared" si="9"/>
        <v>0.22099999999999997</v>
      </c>
      <c r="AD20" s="87"/>
    </row>
    <row r="21" spans="1:30" x14ac:dyDescent="0.2">
      <c r="A21" s="17" t="s">
        <v>125</v>
      </c>
      <c r="B21" s="4">
        <v>168760</v>
      </c>
      <c r="C21" s="4">
        <v>75892</v>
      </c>
      <c r="E21" s="4">
        <f t="shared" si="1"/>
        <v>244652</v>
      </c>
      <c r="G21" s="16">
        <v>0.11600000000000001</v>
      </c>
      <c r="H21" s="16">
        <v>0.25600000000000001</v>
      </c>
      <c r="I21" s="16">
        <v>0.34</v>
      </c>
      <c r="J21" s="16">
        <v>0.19</v>
      </c>
      <c r="K21" s="16">
        <v>9.7000000000000003E-2</v>
      </c>
      <c r="N21" s="4">
        <f>+'Pop Data'!E21</f>
        <v>62310</v>
      </c>
      <c r="O21" s="4">
        <f>+'Pop Data'!F21+'Pop Data'!G21</f>
        <v>126500</v>
      </c>
      <c r="P21" s="4">
        <f>+'Pop Data'!H21</f>
        <v>64655</v>
      </c>
      <c r="Q21" s="7">
        <f t="shared" si="2"/>
        <v>0.24583275797447379</v>
      </c>
      <c r="R21" s="7">
        <f t="shared" si="3"/>
        <v>0.49908271358964751</v>
      </c>
      <c r="S21" s="7">
        <f t="shared" si="4"/>
        <v>0.2550845284358787</v>
      </c>
      <c r="T21" s="4"/>
      <c r="U21" s="4"/>
      <c r="V21" s="78">
        <f t="shared" si="5"/>
        <v>0.1789331860414653</v>
      </c>
      <c r="W21" s="78">
        <f t="shared" si="6"/>
        <v>0.12776517467894977</v>
      </c>
      <c r="X21" s="78">
        <f t="shared" si="7"/>
        <v>6.5301639279584947E-2</v>
      </c>
      <c r="Y21" s="69"/>
      <c r="Z21" s="69"/>
      <c r="AA21" s="79">
        <f t="shared" si="8"/>
        <v>0.40530163927958496</v>
      </c>
      <c r="AB21" s="79">
        <f t="shared" si="9"/>
        <v>0.28799999999999992</v>
      </c>
      <c r="AD21" s="87"/>
    </row>
    <row r="22" spans="1:30" x14ac:dyDescent="0.2">
      <c r="A22" s="17" t="s">
        <v>0</v>
      </c>
      <c r="B22" s="4">
        <v>74703</v>
      </c>
      <c r="C22" s="4">
        <v>40296</v>
      </c>
      <c r="D22" s="4">
        <v>-4611</v>
      </c>
      <c r="E22" s="4">
        <f t="shared" si="1"/>
        <v>110388</v>
      </c>
      <c r="G22" s="16">
        <v>0.13600000000000001</v>
      </c>
      <c r="H22" s="16">
        <v>0.30099999999999999</v>
      </c>
      <c r="I22" s="16">
        <v>0.32600000000000001</v>
      </c>
      <c r="J22" s="16">
        <v>0.161</v>
      </c>
      <c r="K22" s="16">
        <v>7.5999999999999998E-2</v>
      </c>
      <c r="N22" s="4">
        <f>+'Pop Data'!E22</f>
        <v>13378</v>
      </c>
      <c r="O22" s="4">
        <f>+'Pop Data'!F22+'Pop Data'!G22</f>
        <v>27559</v>
      </c>
      <c r="P22" s="4">
        <f>+'Pop Data'!H22</f>
        <v>14354</v>
      </c>
      <c r="Q22" s="7">
        <f t="shared" si="2"/>
        <v>0.24195619540250674</v>
      </c>
      <c r="R22" s="7">
        <f t="shared" si="3"/>
        <v>0.49843555008952634</v>
      </c>
      <c r="S22" s="7">
        <f t="shared" si="4"/>
        <v>0.25960825450796693</v>
      </c>
      <c r="T22" s="4"/>
      <c r="U22" s="4"/>
      <c r="V22" s="78">
        <f t="shared" si="5"/>
        <v>0.20882881481615453</v>
      </c>
      <c r="W22" s="78">
        <f t="shared" si="6"/>
        <v>0.15002910057694743</v>
      </c>
      <c r="X22" s="78">
        <f t="shared" si="7"/>
        <v>7.8142084606898046E-2</v>
      </c>
      <c r="Y22" s="69"/>
      <c r="Z22" s="69"/>
      <c r="AA22" s="79">
        <f t="shared" si="8"/>
        <v>0.40414208460689804</v>
      </c>
      <c r="AB22" s="79">
        <f t="shared" si="9"/>
        <v>0.23699999999999999</v>
      </c>
      <c r="AD22" s="87"/>
    </row>
    <row r="23" spans="1:30" x14ac:dyDescent="0.2">
      <c r="A23" s="17" t="s">
        <v>1</v>
      </c>
      <c r="B23" s="4">
        <v>226333</v>
      </c>
      <c r="C23" s="4">
        <v>320395</v>
      </c>
      <c r="D23" s="4">
        <v>0</v>
      </c>
      <c r="E23" s="4">
        <f t="shared" si="1"/>
        <v>546728</v>
      </c>
      <c r="G23" s="16">
        <v>0.17599999999999999</v>
      </c>
      <c r="H23" s="16">
        <v>0.27800000000000002</v>
      </c>
      <c r="I23" s="16">
        <v>0.314</v>
      </c>
      <c r="J23" s="16">
        <v>0.158</v>
      </c>
      <c r="K23" s="16">
        <v>7.3999999999999996E-2</v>
      </c>
      <c r="N23" s="4">
        <f>+'Pop Data'!E23</f>
        <v>72681</v>
      </c>
      <c r="O23" s="4">
        <f>+'Pop Data'!F23+'Pop Data'!G23</f>
        <v>147226</v>
      </c>
      <c r="P23" s="4">
        <f>+'Pop Data'!H23</f>
        <v>74693</v>
      </c>
      <c r="Q23" s="7">
        <f t="shared" si="2"/>
        <v>0.24671079429735235</v>
      </c>
      <c r="R23" s="7">
        <f t="shared" si="3"/>
        <v>0.49974881194840459</v>
      </c>
      <c r="S23" s="7">
        <f t="shared" si="4"/>
        <v>0.25354039375424303</v>
      </c>
      <c r="T23" s="4"/>
      <c r="U23" s="4"/>
      <c r="V23" s="78">
        <f t="shared" si="5"/>
        <v>0.24458560081466396</v>
      </c>
      <c r="W23" s="78">
        <f t="shared" si="6"/>
        <v>0.13893016972165648</v>
      </c>
      <c r="X23" s="78">
        <f t="shared" si="7"/>
        <v>7.0484229463679562E-2</v>
      </c>
      <c r="Y23" s="69"/>
      <c r="Z23" s="69"/>
      <c r="AA23" s="79">
        <f t="shared" si="8"/>
        <v>0.38448422946367955</v>
      </c>
      <c r="AB23" s="79">
        <f t="shared" si="9"/>
        <v>0.23199999999999998</v>
      </c>
      <c r="AD23" s="87"/>
    </row>
    <row r="24" spans="1:30" x14ac:dyDescent="0.2">
      <c r="A24" s="17" t="s">
        <v>2</v>
      </c>
      <c r="B24" s="4">
        <v>361952</v>
      </c>
      <c r="C24" s="4">
        <v>667526</v>
      </c>
      <c r="D24" s="4">
        <v>0</v>
      </c>
      <c r="E24" s="4">
        <f t="shared" si="1"/>
        <v>1029478</v>
      </c>
      <c r="G24" s="16">
        <v>0.14799999999999999</v>
      </c>
      <c r="H24" s="16">
        <v>0.28999999999999998</v>
      </c>
      <c r="I24" s="16">
        <v>0.28799999999999998</v>
      </c>
      <c r="J24" s="16">
        <v>0.16500000000000001</v>
      </c>
      <c r="K24" s="16">
        <v>0.109</v>
      </c>
      <c r="N24" s="4">
        <f>+'Pop Data'!E24</f>
        <v>72374</v>
      </c>
      <c r="O24" s="4">
        <f>+'Pop Data'!F24+'Pop Data'!G24</f>
        <v>146879</v>
      </c>
      <c r="P24" s="4">
        <f>+'Pop Data'!H24</f>
        <v>75213</v>
      </c>
      <c r="Q24" s="7">
        <f t="shared" si="2"/>
        <v>0.24578049757866782</v>
      </c>
      <c r="R24" s="7">
        <f t="shared" si="3"/>
        <v>0.49879782385742327</v>
      </c>
      <c r="S24" s="7">
        <f t="shared" si="4"/>
        <v>0.2554216785639089</v>
      </c>
      <c r="T24" s="4"/>
      <c r="U24" s="4"/>
      <c r="V24" s="78">
        <f t="shared" si="5"/>
        <v>0.21927634429781367</v>
      </c>
      <c r="W24" s="78">
        <f t="shared" si="6"/>
        <v>0.14465136891865274</v>
      </c>
      <c r="X24" s="78">
        <f t="shared" si="7"/>
        <v>7.4072286783533572E-2</v>
      </c>
      <c r="Y24" s="69"/>
      <c r="Z24" s="69"/>
      <c r="AA24" s="79">
        <f t="shared" si="8"/>
        <v>0.36207228678353354</v>
      </c>
      <c r="AB24" s="79">
        <f t="shared" si="9"/>
        <v>0.27400000000000013</v>
      </c>
      <c r="AD24" s="87"/>
    </row>
    <row r="25" spans="1:30" x14ac:dyDescent="0.2">
      <c r="A25" s="17" t="s">
        <v>3</v>
      </c>
      <c r="B25" s="4">
        <v>807280</v>
      </c>
      <c r="C25" s="4">
        <v>699138</v>
      </c>
      <c r="D25" s="4">
        <v>0</v>
      </c>
      <c r="E25" s="4">
        <f t="shared" si="1"/>
        <v>1506418</v>
      </c>
      <c r="G25" s="16">
        <v>0.20799999999999999</v>
      </c>
      <c r="H25" s="16">
        <v>0.311</v>
      </c>
      <c r="I25" s="16">
        <v>0.26900000000000002</v>
      </c>
      <c r="J25" s="16">
        <v>0.13600000000000001</v>
      </c>
      <c r="K25" s="16">
        <v>7.5999999999999998E-2</v>
      </c>
      <c r="N25" s="4">
        <f>+'Pop Data'!E25</f>
        <v>115262</v>
      </c>
      <c r="O25" s="4">
        <f>+'Pop Data'!F25+'Pop Data'!G25</f>
        <v>235370</v>
      </c>
      <c r="P25" s="4">
        <f>+'Pop Data'!H25</f>
        <v>122126</v>
      </c>
      <c r="Q25" s="7">
        <f t="shared" si="2"/>
        <v>0.2438076140435487</v>
      </c>
      <c r="R25" s="7">
        <f t="shared" si="3"/>
        <v>0.49786571565155957</v>
      </c>
      <c r="S25" s="7">
        <f t="shared" si="4"/>
        <v>0.2583266703048917</v>
      </c>
      <c r="T25" s="4"/>
      <c r="U25" s="4"/>
      <c r="V25" s="78">
        <f t="shared" si="5"/>
        <v>0.28382416796754362</v>
      </c>
      <c r="W25" s="78">
        <f t="shared" si="6"/>
        <v>0.15483623756763504</v>
      </c>
      <c r="X25" s="78">
        <f t="shared" si="7"/>
        <v>8.0339594464821321E-2</v>
      </c>
      <c r="Y25" s="69"/>
      <c r="Z25" s="69"/>
      <c r="AA25" s="79">
        <f t="shared" si="8"/>
        <v>0.34933959446482132</v>
      </c>
      <c r="AB25" s="79">
        <f t="shared" si="9"/>
        <v>0.21200000000000008</v>
      </c>
      <c r="AD25" s="87"/>
    </row>
    <row r="26" spans="1:30" x14ac:dyDescent="0.2">
      <c r="A26" s="17" t="s">
        <v>4</v>
      </c>
      <c r="B26" s="4">
        <v>199855</v>
      </c>
      <c r="C26" s="4">
        <v>238511</v>
      </c>
      <c r="D26" s="4">
        <v>-12403</v>
      </c>
      <c r="E26" s="4">
        <f t="shared" si="1"/>
        <v>425963</v>
      </c>
      <c r="G26" s="16">
        <v>0.17</v>
      </c>
      <c r="H26" s="16">
        <v>0.27400000000000002</v>
      </c>
      <c r="I26" s="16">
        <v>0.29499999999999998</v>
      </c>
      <c r="J26" s="16">
        <v>0.16200000000000001</v>
      </c>
      <c r="K26" s="16">
        <v>9.9000000000000005E-2</v>
      </c>
      <c r="N26" s="4">
        <f>+'Pop Data'!E26</f>
        <v>69902</v>
      </c>
      <c r="O26" s="4">
        <f>+'Pop Data'!F26+'Pop Data'!G26</f>
        <v>142347</v>
      </c>
      <c r="P26" s="4">
        <f>+'Pop Data'!H26</f>
        <v>72991</v>
      </c>
      <c r="Q26" s="7">
        <f t="shared" si="2"/>
        <v>0.24506380591782359</v>
      </c>
      <c r="R26" s="7">
        <f t="shared" si="3"/>
        <v>0.49904291123264621</v>
      </c>
      <c r="S26" s="7">
        <f t="shared" si="4"/>
        <v>0.25589328284953022</v>
      </c>
      <c r="T26" s="4"/>
      <c r="U26" s="4"/>
      <c r="V26" s="78">
        <f t="shared" si="5"/>
        <v>0.23714748282148368</v>
      </c>
      <c r="W26" s="78">
        <f t="shared" si="6"/>
        <v>0.13673775767774507</v>
      </c>
      <c r="X26" s="78">
        <f t="shared" si="7"/>
        <v>7.0114759500771284E-2</v>
      </c>
      <c r="Y26" s="69"/>
      <c r="Z26" s="69"/>
      <c r="AA26" s="79">
        <f t="shared" si="8"/>
        <v>0.36511475950077127</v>
      </c>
      <c r="AB26" s="79">
        <f t="shared" si="9"/>
        <v>0.26099999999999995</v>
      </c>
      <c r="AD26" s="87"/>
    </row>
    <row r="27" spans="1:30" x14ac:dyDescent="0.2">
      <c r="A27" s="17" t="s">
        <v>5</v>
      </c>
      <c r="B27" s="4">
        <v>58810</v>
      </c>
      <c r="C27" s="4">
        <v>21724</v>
      </c>
      <c r="D27" s="4">
        <v>0</v>
      </c>
      <c r="E27" s="4">
        <f t="shared" si="1"/>
        <v>80534</v>
      </c>
      <c r="G27" s="16">
        <v>0.20899999999999999</v>
      </c>
      <c r="H27" s="16">
        <v>0.33</v>
      </c>
      <c r="I27" s="16">
        <v>0.26600000000000001</v>
      </c>
      <c r="J27" s="16">
        <v>0.129</v>
      </c>
      <c r="K27" s="16">
        <v>6.5000000000000002E-2</v>
      </c>
      <c r="N27" s="4">
        <f>+'Pop Data'!E27</f>
        <v>40274</v>
      </c>
      <c r="O27" s="4">
        <f>+'Pop Data'!F27+'Pop Data'!G27</f>
        <v>84638</v>
      </c>
      <c r="P27" s="4">
        <f>+'Pop Data'!H27</f>
        <v>43933</v>
      </c>
      <c r="Q27" s="7">
        <f t="shared" si="2"/>
        <v>0.23852645917853652</v>
      </c>
      <c r="R27" s="7">
        <f t="shared" si="3"/>
        <v>0.50127631851698307</v>
      </c>
      <c r="S27" s="7">
        <f t="shared" si="4"/>
        <v>0.26019722230448045</v>
      </c>
      <c r="T27" s="4"/>
      <c r="U27" s="4"/>
      <c r="V27" s="78">
        <f t="shared" si="5"/>
        <v>0.28771373152891705</v>
      </c>
      <c r="W27" s="78">
        <f t="shared" si="6"/>
        <v>0.16542118511060441</v>
      </c>
      <c r="X27" s="78">
        <f t="shared" si="7"/>
        <v>8.5865083360478545E-2</v>
      </c>
      <c r="Y27" s="69"/>
      <c r="Z27" s="69"/>
      <c r="AA27" s="79">
        <f t="shared" si="8"/>
        <v>0.35186508336047856</v>
      </c>
      <c r="AB27" s="79">
        <f t="shared" si="9"/>
        <v>0.1949999999999999</v>
      </c>
      <c r="AD27" s="87"/>
    </row>
    <row r="28" spans="1:30" x14ac:dyDescent="0.2">
      <c r="A28" s="17" t="s">
        <v>6</v>
      </c>
      <c r="B28" s="4">
        <v>180554</v>
      </c>
      <c r="C28" s="4">
        <v>187786</v>
      </c>
      <c r="D28" s="4">
        <v>0</v>
      </c>
      <c r="E28" s="4">
        <f t="shared" si="1"/>
        <v>368340</v>
      </c>
      <c r="G28" s="16">
        <v>0.26700000000000002</v>
      </c>
      <c r="H28" s="16">
        <v>0.34200000000000003</v>
      </c>
      <c r="I28" s="16">
        <v>0.23100000000000001</v>
      </c>
      <c r="J28" s="16">
        <v>0.106</v>
      </c>
      <c r="K28" s="16">
        <v>5.2999999999999999E-2</v>
      </c>
      <c r="N28" s="4">
        <f>+'Pop Data'!E28</f>
        <v>76121</v>
      </c>
      <c r="O28" s="4">
        <f>+'Pop Data'!F28+'Pop Data'!G28</f>
        <v>154727</v>
      </c>
      <c r="P28" s="4">
        <f>+'Pop Data'!H28</f>
        <v>78823</v>
      </c>
      <c r="Q28" s="7">
        <f t="shared" si="2"/>
        <v>0.24581249132143468</v>
      </c>
      <c r="R28" s="7">
        <f t="shared" si="3"/>
        <v>0.49964962815375025</v>
      </c>
      <c r="S28" s="7">
        <f t="shared" si="4"/>
        <v>0.25453788052481502</v>
      </c>
      <c r="T28" s="4"/>
      <c r="U28" s="4"/>
      <c r="V28" s="78">
        <f t="shared" si="5"/>
        <v>0.35106787203193068</v>
      </c>
      <c r="W28" s="78">
        <f t="shared" si="6"/>
        <v>0.17088017282858259</v>
      </c>
      <c r="X28" s="78">
        <f t="shared" si="7"/>
        <v>8.7051955139486742E-2</v>
      </c>
      <c r="Y28" s="69"/>
      <c r="Z28" s="69"/>
      <c r="AA28" s="79">
        <f t="shared" si="8"/>
        <v>0.31805195513948675</v>
      </c>
      <c r="AB28" s="79">
        <f t="shared" si="9"/>
        <v>0.15999999999999998</v>
      </c>
      <c r="AD28" s="87"/>
    </row>
    <row r="29" spans="1:30" x14ac:dyDescent="0.2">
      <c r="A29" s="17" t="s">
        <v>7</v>
      </c>
      <c r="B29" s="4">
        <v>29876</v>
      </c>
      <c r="C29" s="4">
        <v>15252</v>
      </c>
      <c r="D29" s="4">
        <v>0</v>
      </c>
      <c r="E29" s="4">
        <f t="shared" si="1"/>
        <v>45128</v>
      </c>
      <c r="G29" s="16">
        <v>0.155</v>
      </c>
      <c r="H29" s="16">
        <v>0.30499999999999999</v>
      </c>
      <c r="I29" s="16">
        <v>0.33100000000000002</v>
      </c>
      <c r="J29" s="16">
        <v>0.14899999999999999</v>
      </c>
      <c r="K29" s="16">
        <v>0.06</v>
      </c>
      <c r="N29" s="4">
        <f>+'Pop Data'!E29</f>
        <v>12154</v>
      </c>
      <c r="O29" s="4">
        <f>+'Pop Data'!F29+'Pop Data'!G29</f>
        <v>25088</v>
      </c>
      <c r="P29" s="4">
        <f>+'Pop Data'!H29</f>
        <v>12938</v>
      </c>
      <c r="Q29" s="7">
        <f t="shared" si="2"/>
        <v>0.24220805101634116</v>
      </c>
      <c r="R29" s="7">
        <f t="shared" si="3"/>
        <v>0.49996014348345952</v>
      </c>
      <c r="S29" s="7">
        <f t="shared" si="4"/>
        <v>0.2578318055001993</v>
      </c>
      <c r="T29" s="4"/>
      <c r="U29" s="4"/>
      <c r="V29" s="78">
        <f t="shared" si="5"/>
        <v>0.22887345555998406</v>
      </c>
      <c r="W29" s="78">
        <f t="shared" si="6"/>
        <v>0.15248784376245514</v>
      </c>
      <c r="X29" s="78">
        <f t="shared" si="7"/>
        <v>7.8638700677560777E-2</v>
      </c>
      <c r="Y29" s="69"/>
      <c r="Z29" s="69"/>
      <c r="AA29" s="79">
        <f t="shared" si="8"/>
        <v>0.40963870067756081</v>
      </c>
      <c r="AB29" s="79">
        <f t="shared" si="9"/>
        <v>0.20899999999999996</v>
      </c>
      <c r="AD29" s="87"/>
    </row>
    <row r="30" spans="1:30" x14ac:dyDescent="0.2">
      <c r="A30" s="17" t="s">
        <v>8</v>
      </c>
      <c r="B30" s="4">
        <v>41378</v>
      </c>
      <c r="C30" s="4">
        <v>52019</v>
      </c>
      <c r="D30" s="4">
        <v>-6943</v>
      </c>
      <c r="E30" s="4">
        <f t="shared" si="1"/>
        <v>86454</v>
      </c>
      <c r="G30" s="16">
        <v>0.14199999999999999</v>
      </c>
      <c r="H30" s="16">
        <v>0.312</v>
      </c>
      <c r="I30" s="16">
        <v>0.33</v>
      </c>
      <c r="J30" s="16">
        <v>0.14399999999999999</v>
      </c>
      <c r="K30" s="16">
        <v>7.1999999999999995E-2</v>
      </c>
      <c r="N30" s="4">
        <f>+'Pop Data'!E30</f>
        <v>26376</v>
      </c>
      <c r="O30" s="4">
        <f>+'Pop Data'!F30+'Pop Data'!G30</f>
        <v>53111</v>
      </c>
      <c r="P30" s="4">
        <f>+'Pop Data'!H30</f>
        <v>26617</v>
      </c>
      <c r="Q30" s="7">
        <f t="shared" si="2"/>
        <v>0.24858629269396065</v>
      </c>
      <c r="R30" s="7">
        <f t="shared" si="3"/>
        <v>0.50055605820704219</v>
      </c>
      <c r="S30" s="7">
        <f t="shared" si="4"/>
        <v>0.25085764909899722</v>
      </c>
      <c r="T30" s="4"/>
      <c r="U30" s="4"/>
      <c r="V30" s="78">
        <f t="shared" si="5"/>
        <v>0.21955892332051571</v>
      </c>
      <c r="W30" s="78">
        <f t="shared" si="6"/>
        <v>0.15617349016059717</v>
      </c>
      <c r="X30" s="78">
        <f t="shared" si="7"/>
        <v>7.8267586518887128E-2</v>
      </c>
      <c r="Y30" s="69"/>
      <c r="Z30" s="69"/>
      <c r="AA30" s="79">
        <f t="shared" si="8"/>
        <v>0.40826758651888717</v>
      </c>
      <c r="AB30" s="79">
        <f t="shared" si="9"/>
        <v>0.21599999999999997</v>
      </c>
      <c r="AD30" s="87"/>
    </row>
    <row r="31" spans="1:30" x14ac:dyDescent="0.2">
      <c r="A31" s="17" t="s">
        <v>92</v>
      </c>
      <c r="B31" s="4">
        <v>48976</v>
      </c>
      <c r="C31" s="4">
        <v>49220</v>
      </c>
      <c r="D31" s="4">
        <v>0</v>
      </c>
      <c r="E31" s="4">
        <f t="shared" si="1"/>
        <v>98196</v>
      </c>
      <c r="G31" s="16">
        <v>0.16600000000000001</v>
      </c>
      <c r="H31" s="16">
        <v>0.30099999999999999</v>
      </c>
      <c r="I31" s="16">
        <v>0.317</v>
      </c>
      <c r="J31" s="16">
        <v>0.15</v>
      </c>
      <c r="K31" s="16">
        <v>6.5000000000000002E-2</v>
      </c>
      <c r="N31" s="4">
        <f>+'Pop Data'!E31</f>
        <v>36456</v>
      </c>
      <c r="O31" s="4">
        <f>+'Pop Data'!F31+'Pop Data'!G31</f>
        <v>74841</v>
      </c>
      <c r="P31" s="4">
        <f>+'Pop Data'!H31</f>
        <v>37993</v>
      </c>
      <c r="Q31" s="7">
        <f t="shared" si="2"/>
        <v>0.24419586040592137</v>
      </c>
      <c r="R31" s="7">
        <f t="shared" si="3"/>
        <v>0.50131288096992432</v>
      </c>
      <c r="S31" s="7">
        <f t="shared" si="4"/>
        <v>0.25449125862415434</v>
      </c>
      <c r="T31" s="4"/>
      <c r="U31" s="4"/>
      <c r="V31" s="78">
        <f t="shared" si="5"/>
        <v>0.23950295398218235</v>
      </c>
      <c r="W31" s="78">
        <f t="shared" si="6"/>
        <v>0.15089517717194723</v>
      </c>
      <c r="X31" s="78">
        <f t="shared" si="7"/>
        <v>7.6601868845870447E-2</v>
      </c>
      <c r="Y31" s="69"/>
      <c r="Z31" s="69"/>
      <c r="AA31" s="79">
        <f t="shared" si="8"/>
        <v>0.39360186884587045</v>
      </c>
      <c r="AB31" s="79">
        <f t="shared" si="9"/>
        <v>0.21599999999999997</v>
      </c>
      <c r="AD31" s="87"/>
    </row>
    <row r="32" spans="1:30" x14ac:dyDescent="0.2">
      <c r="A32" s="17" t="s">
        <v>9</v>
      </c>
      <c r="B32" s="4">
        <v>37549</v>
      </c>
      <c r="C32" s="4">
        <v>36386</v>
      </c>
      <c r="D32" s="4">
        <v>0</v>
      </c>
      <c r="E32" s="4">
        <f t="shared" si="1"/>
        <v>73935</v>
      </c>
      <c r="G32" s="16">
        <v>0.16800000000000001</v>
      </c>
      <c r="H32" s="16">
        <v>0.32600000000000001</v>
      </c>
      <c r="I32" s="16">
        <v>0.28899999999999998</v>
      </c>
      <c r="J32" s="16">
        <v>0.14399999999999999</v>
      </c>
      <c r="K32" s="16">
        <v>7.2999999999999995E-2</v>
      </c>
      <c r="N32" s="4">
        <f>+'Pop Data'!E32</f>
        <v>13059</v>
      </c>
      <c r="O32" s="4">
        <f>+'Pop Data'!F32+'Pop Data'!G32</f>
        <v>27322</v>
      </c>
      <c r="P32" s="4">
        <f>+'Pop Data'!H32</f>
        <v>14401</v>
      </c>
      <c r="Q32" s="7">
        <f t="shared" si="2"/>
        <v>0.23838122010879487</v>
      </c>
      <c r="R32" s="7">
        <f t="shared" si="3"/>
        <v>0.49874046219561169</v>
      </c>
      <c r="S32" s="7">
        <f t="shared" si="4"/>
        <v>0.26287831769559344</v>
      </c>
      <c r="T32" s="4"/>
      <c r="U32" s="4"/>
      <c r="V32" s="78">
        <f t="shared" si="5"/>
        <v>0.24571227775546714</v>
      </c>
      <c r="W32" s="78">
        <f t="shared" si="6"/>
        <v>0.16258939067576941</v>
      </c>
      <c r="X32" s="78">
        <f t="shared" si="7"/>
        <v>8.5698331568763469E-2</v>
      </c>
      <c r="Y32" s="69"/>
      <c r="Z32" s="69"/>
      <c r="AA32" s="79">
        <f t="shared" si="8"/>
        <v>0.37469833156876342</v>
      </c>
      <c r="AB32" s="79">
        <f t="shared" si="9"/>
        <v>0.21700000000000008</v>
      </c>
      <c r="AD32" s="87"/>
    </row>
    <row r="33" spans="1:30" x14ac:dyDescent="0.2">
      <c r="A33" s="17" t="s">
        <v>10</v>
      </c>
      <c r="B33" s="4">
        <v>257503</v>
      </c>
      <c r="C33" s="4">
        <v>779492</v>
      </c>
      <c r="D33" s="4">
        <v>0</v>
      </c>
      <c r="E33" s="4">
        <f t="shared" si="1"/>
        <v>1036995</v>
      </c>
      <c r="G33" s="16">
        <v>0.157</v>
      </c>
      <c r="H33" s="16">
        <v>0.30499999999999999</v>
      </c>
      <c r="I33" s="16">
        <v>0.30599999999999999</v>
      </c>
      <c r="J33" s="16">
        <v>0.155</v>
      </c>
      <c r="K33" s="16">
        <v>7.6999999999999999E-2</v>
      </c>
      <c r="N33" s="4">
        <f>+'Pop Data'!E33</f>
        <v>106395</v>
      </c>
      <c r="O33" s="4">
        <f>+'Pop Data'!F33+'Pop Data'!G33</f>
        <v>215261</v>
      </c>
      <c r="P33" s="4">
        <f>+'Pop Data'!H33</f>
        <v>111009</v>
      </c>
      <c r="Q33" s="7">
        <f t="shared" si="2"/>
        <v>0.24590618607929923</v>
      </c>
      <c r="R33" s="7">
        <f t="shared" si="3"/>
        <v>0.49752348814902986</v>
      </c>
      <c r="S33" s="7">
        <f t="shared" si="4"/>
        <v>0.25657032577167094</v>
      </c>
      <c r="T33" s="4"/>
      <c r="U33" s="4"/>
      <c r="V33" s="78">
        <f t="shared" si="5"/>
        <v>0.23200138675418625</v>
      </c>
      <c r="W33" s="78">
        <f t="shared" si="6"/>
        <v>0.1517446638854541</v>
      </c>
      <c r="X33" s="78">
        <f t="shared" si="7"/>
        <v>7.8253949360359634E-2</v>
      </c>
      <c r="Y33" s="69"/>
      <c r="Z33" s="69"/>
      <c r="AA33" s="79">
        <f t="shared" si="8"/>
        <v>0.38425394936035961</v>
      </c>
      <c r="AB33" s="79">
        <f t="shared" si="9"/>
        <v>0.23199999999999998</v>
      </c>
      <c r="AD33" s="87"/>
    </row>
    <row r="34" spans="1:30" x14ac:dyDescent="0.2">
      <c r="A34" s="17" t="s">
        <v>11</v>
      </c>
      <c r="B34" s="4">
        <v>82140</v>
      </c>
      <c r="C34" s="4">
        <v>100090</v>
      </c>
      <c r="D34" s="4">
        <v>0</v>
      </c>
      <c r="E34" s="4">
        <f t="shared" si="1"/>
        <v>182230</v>
      </c>
      <c r="G34" s="16">
        <v>0.17100000000000001</v>
      </c>
      <c r="H34" s="16">
        <v>0.28599999999999998</v>
      </c>
      <c r="I34" s="16">
        <v>0.32900000000000001</v>
      </c>
      <c r="J34" s="16">
        <v>0.153</v>
      </c>
      <c r="K34" s="16">
        <v>6.0999999999999999E-2</v>
      </c>
      <c r="N34" s="4">
        <f>+'Pop Data'!E34</f>
        <v>28422</v>
      </c>
      <c r="O34" s="4">
        <f>+'Pop Data'!F34+'Pop Data'!G34</f>
        <v>57926</v>
      </c>
      <c r="P34" s="4">
        <f>+'Pop Data'!H34</f>
        <v>29293</v>
      </c>
      <c r="Q34" s="7">
        <f t="shared" si="2"/>
        <v>0.24577788154720212</v>
      </c>
      <c r="R34" s="7">
        <f t="shared" si="3"/>
        <v>0.50091230618898142</v>
      </c>
      <c r="S34" s="7">
        <f t="shared" si="4"/>
        <v>0.25330981226381649</v>
      </c>
      <c r="T34" s="4"/>
      <c r="U34" s="4"/>
      <c r="V34" s="78">
        <f t="shared" si="5"/>
        <v>0.24129247412249982</v>
      </c>
      <c r="W34" s="78">
        <f t="shared" si="6"/>
        <v>0.14326091957004866</v>
      </c>
      <c r="X34" s="78">
        <f t="shared" si="7"/>
        <v>7.2446606307451505E-2</v>
      </c>
      <c r="Y34" s="69"/>
      <c r="Z34" s="69"/>
      <c r="AA34" s="79">
        <f t="shared" si="8"/>
        <v>0.40144660630745155</v>
      </c>
      <c r="AB34" s="79">
        <f t="shared" si="9"/>
        <v>0.21399999999999997</v>
      </c>
      <c r="AD34" s="87"/>
    </row>
    <row r="35" spans="1:30" x14ac:dyDescent="0.2">
      <c r="A35" s="17" t="s">
        <v>12</v>
      </c>
      <c r="B35" s="4">
        <v>2106178</v>
      </c>
      <c r="C35" s="4">
        <v>2735773</v>
      </c>
      <c r="D35" s="4">
        <v>-493695</v>
      </c>
      <c r="E35" s="4">
        <f t="shared" si="1"/>
        <v>4348256</v>
      </c>
      <c r="G35" s="16">
        <v>0.13400000000000001</v>
      </c>
      <c r="H35" s="16">
        <v>0.29399999999999998</v>
      </c>
      <c r="I35" s="16">
        <v>0.30099999999999999</v>
      </c>
      <c r="J35" s="16">
        <v>0.17799999999999999</v>
      </c>
      <c r="K35" s="16">
        <v>9.2999999999999999E-2</v>
      </c>
      <c r="N35" s="4">
        <f>+'Pop Data'!E35</f>
        <v>230320</v>
      </c>
      <c r="O35" s="4">
        <f>+'Pop Data'!F35+'Pop Data'!G35</f>
        <v>456623</v>
      </c>
      <c r="P35" s="4">
        <f>+'Pop Data'!H35</f>
        <v>230938</v>
      </c>
      <c r="Q35" s="7">
        <f t="shared" si="2"/>
        <v>0.25092577360246043</v>
      </c>
      <c r="R35" s="7">
        <f t="shared" si="3"/>
        <v>0.49747516290238059</v>
      </c>
      <c r="S35" s="7">
        <f t="shared" si="4"/>
        <v>0.25159906349515898</v>
      </c>
      <c r="T35" s="4"/>
      <c r="U35" s="4"/>
      <c r="V35" s="78">
        <f t="shared" si="5"/>
        <v>0.20777217743912335</v>
      </c>
      <c r="W35" s="78">
        <f t="shared" si="6"/>
        <v>0.14625769789329987</v>
      </c>
      <c r="X35" s="78">
        <f t="shared" si="7"/>
        <v>7.3970124667576742E-2</v>
      </c>
      <c r="Y35" s="69"/>
      <c r="Z35" s="69"/>
      <c r="AA35" s="79">
        <f t="shared" si="8"/>
        <v>0.37497012466757673</v>
      </c>
      <c r="AB35" s="79">
        <f t="shared" si="9"/>
        <v>0.27100000000000002</v>
      </c>
      <c r="AD35" s="87"/>
    </row>
    <row r="36" spans="1:30" x14ac:dyDescent="0.2">
      <c r="A36" s="17" t="s">
        <v>13</v>
      </c>
      <c r="B36" s="4">
        <v>263363</v>
      </c>
      <c r="C36" s="4">
        <v>267174</v>
      </c>
      <c r="D36" s="4">
        <v>0</v>
      </c>
      <c r="E36" s="4">
        <f t="shared" si="1"/>
        <v>530537</v>
      </c>
      <c r="G36" s="16">
        <v>0.151</v>
      </c>
      <c r="H36" s="16">
        <v>0.29899999999999999</v>
      </c>
      <c r="I36" s="16">
        <v>0.311</v>
      </c>
      <c r="J36" s="16">
        <v>0.16900000000000001</v>
      </c>
      <c r="K36" s="16">
        <v>7.0000000000000007E-2</v>
      </c>
      <c r="N36" s="4">
        <f>+'Pop Data'!E36</f>
        <v>124558</v>
      </c>
      <c r="O36" s="4">
        <f>+'Pop Data'!F36+'Pop Data'!G36</f>
        <v>254732</v>
      </c>
      <c r="P36" s="4">
        <f>+'Pop Data'!H36</f>
        <v>129900</v>
      </c>
      <c r="Q36" s="7">
        <f t="shared" si="2"/>
        <v>0.24461988648638033</v>
      </c>
      <c r="R36" s="7">
        <f t="shared" si="3"/>
        <v>0.50026905477326733</v>
      </c>
      <c r="S36" s="7">
        <f t="shared" si="4"/>
        <v>0.25511105874035234</v>
      </c>
      <c r="T36" s="4"/>
      <c r="U36" s="4"/>
      <c r="V36" s="78">
        <f t="shared" si="5"/>
        <v>0.2241413460594277</v>
      </c>
      <c r="W36" s="78">
        <f t="shared" si="6"/>
        <v>0.14958044737720694</v>
      </c>
      <c r="X36" s="78">
        <f t="shared" si="7"/>
        <v>7.6278206563365342E-2</v>
      </c>
      <c r="Y36" s="69"/>
      <c r="Z36" s="69"/>
      <c r="AA36" s="79">
        <f t="shared" si="8"/>
        <v>0.38727820656336531</v>
      </c>
      <c r="AB36" s="79">
        <f t="shared" si="9"/>
        <v>0.2390000000000001</v>
      </c>
      <c r="AD36" s="87"/>
    </row>
    <row r="37" spans="1:30" x14ac:dyDescent="0.2">
      <c r="A37" s="17" t="s">
        <v>14</v>
      </c>
      <c r="B37" s="4">
        <v>28269</v>
      </c>
      <c r="C37" s="4">
        <v>9069</v>
      </c>
      <c r="D37" s="4">
        <v>0</v>
      </c>
      <c r="E37" s="4">
        <f t="shared" si="1"/>
        <v>37338</v>
      </c>
      <c r="G37" s="16">
        <v>0.16900000000000001</v>
      </c>
      <c r="H37" s="16">
        <v>0.33500000000000002</v>
      </c>
      <c r="I37" s="16">
        <v>0.312</v>
      </c>
      <c r="J37" s="16">
        <v>0.13200000000000001</v>
      </c>
      <c r="K37" s="16">
        <v>5.1999999999999998E-2</v>
      </c>
      <c r="N37" s="4">
        <f>+'Pop Data'!E37</f>
        <v>9194</v>
      </c>
      <c r="O37" s="4">
        <f>+'Pop Data'!F37+'Pop Data'!G37</f>
        <v>18580</v>
      </c>
      <c r="P37" s="4">
        <f>+'Pop Data'!H37</f>
        <v>9255</v>
      </c>
      <c r="Q37" s="7">
        <f t="shared" si="2"/>
        <v>0.2482918793378163</v>
      </c>
      <c r="R37" s="7">
        <f t="shared" si="3"/>
        <v>0.50176888384779494</v>
      </c>
      <c r="S37" s="7">
        <f t="shared" si="4"/>
        <v>0.24993923681438873</v>
      </c>
      <c r="T37" s="4"/>
      <c r="U37" s="4"/>
      <c r="V37" s="78">
        <f t="shared" si="5"/>
        <v>0.25217777957816845</v>
      </c>
      <c r="W37" s="78">
        <f t="shared" si="6"/>
        <v>0.16809257608901132</v>
      </c>
      <c r="X37" s="78">
        <f t="shared" si="7"/>
        <v>8.3729644332820236E-2</v>
      </c>
      <c r="Y37" s="69"/>
      <c r="Z37" s="69"/>
      <c r="AA37" s="79">
        <f t="shared" si="8"/>
        <v>0.39572964433282021</v>
      </c>
      <c r="AB37" s="79">
        <f t="shared" si="9"/>
        <v>0.18400000000000005</v>
      </c>
      <c r="AD37" s="87"/>
    </row>
    <row r="38" spans="1:30" x14ac:dyDescent="0.2">
      <c r="A38" s="17" t="s">
        <v>15</v>
      </c>
      <c r="B38" s="4">
        <v>616336</v>
      </c>
      <c r="C38" s="4">
        <v>424022</v>
      </c>
      <c r="D38" s="4">
        <v>0</v>
      </c>
      <c r="E38" s="4">
        <f t="shared" si="1"/>
        <v>1040358</v>
      </c>
      <c r="G38" s="16">
        <v>0.159</v>
      </c>
      <c r="H38" s="16">
        <v>0.28100000000000003</v>
      </c>
      <c r="I38" s="16">
        <v>0.29199999999999998</v>
      </c>
      <c r="J38" s="16">
        <v>0.159</v>
      </c>
      <c r="K38" s="16">
        <v>0.109</v>
      </c>
      <c r="N38" s="4">
        <f>+'Pop Data'!E38</f>
        <v>139333</v>
      </c>
      <c r="O38" s="4">
        <f>+'Pop Data'!F38+'Pop Data'!G38</f>
        <v>285477</v>
      </c>
      <c r="P38" s="4">
        <f>+'Pop Data'!H38</f>
        <v>147033</v>
      </c>
      <c r="Q38" s="7">
        <f t="shared" si="2"/>
        <v>0.24365603845810826</v>
      </c>
      <c r="R38" s="7">
        <f t="shared" si="3"/>
        <v>0.49922268874498771</v>
      </c>
      <c r="S38" s="7">
        <f t="shared" si="4"/>
        <v>0.25712127279690405</v>
      </c>
      <c r="T38" s="4"/>
      <c r="U38" s="4"/>
      <c r="V38" s="78">
        <f t="shared" si="5"/>
        <v>0.22746734680672842</v>
      </c>
      <c r="W38" s="78">
        <f t="shared" si="6"/>
        <v>0.14028157553734155</v>
      </c>
      <c r="X38" s="78">
        <f t="shared" si="7"/>
        <v>7.2251077655930043E-2</v>
      </c>
      <c r="Y38" s="69"/>
      <c r="Z38" s="69"/>
      <c r="AA38" s="79">
        <f t="shared" si="8"/>
        <v>0.36425107765593001</v>
      </c>
      <c r="AB38" s="79">
        <f t="shared" si="9"/>
        <v>0.26800000000000002</v>
      </c>
      <c r="AD38" s="87"/>
    </row>
    <row r="39" spans="1:30" x14ac:dyDescent="0.2">
      <c r="A39" s="17" t="s">
        <v>16</v>
      </c>
      <c r="B39" s="4">
        <v>88440</v>
      </c>
      <c r="C39" s="4">
        <v>60120</v>
      </c>
      <c r="D39" s="4">
        <v>0</v>
      </c>
      <c r="E39" s="4">
        <f t="shared" si="1"/>
        <v>148560</v>
      </c>
      <c r="G39" s="16">
        <v>0.11899999999999999</v>
      </c>
      <c r="H39" s="16">
        <v>0.26400000000000001</v>
      </c>
      <c r="I39" s="16">
        <v>0.34</v>
      </c>
      <c r="J39" s="16">
        <v>0.185</v>
      </c>
      <c r="K39" s="16">
        <v>9.1999999999999998E-2</v>
      </c>
      <c r="N39" s="4">
        <f>+'Pop Data'!E39</f>
        <v>52875</v>
      </c>
      <c r="O39" s="4">
        <f>+'Pop Data'!F39+'Pop Data'!G39</f>
        <v>107227</v>
      </c>
      <c r="P39" s="4">
        <f>+'Pop Data'!H39</f>
        <v>54409</v>
      </c>
      <c r="Q39" s="7">
        <f t="shared" si="2"/>
        <v>0.24649085594678127</v>
      </c>
      <c r="R39" s="7">
        <f t="shared" si="3"/>
        <v>0.49986713968048258</v>
      </c>
      <c r="S39" s="7">
        <f t="shared" si="4"/>
        <v>0.25364200437273615</v>
      </c>
      <c r="T39" s="4"/>
      <c r="U39" s="4"/>
      <c r="V39" s="78">
        <f t="shared" si="5"/>
        <v>0.18407358596995027</v>
      </c>
      <c r="W39" s="78">
        <f t="shared" si="6"/>
        <v>0.1319649248756474</v>
      </c>
      <c r="X39" s="78">
        <f t="shared" si="7"/>
        <v>6.6961489154402351E-2</v>
      </c>
      <c r="Y39" s="69"/>
      <c r="Z39" s="69"/>
      <c r="AA39" s="79">
        <f t="shared" si="8"/>
        <v>0.40696148915440239</v>
      </c>
      <c r="AB39" s="79">
        <f t="shared" si="9"/>
        <v>0.27699999999999997</v>
      </c>
      <c r="AD39" s="87"/>
    </row>
    <row r="40" spans="1:30" x14ac:dyDescent="0.2">
      <c r="A40" s="17" t="s">
        <v>17</v>
      </c>
      <c r="B40" s="4">
        <v>181333</v>
      </c>
      <c r="C40" s="4">
        <v>163417</v>
      </c>
      <c r="D40" s="4">
        <v>-918</v>
      </c>
      <c r="E40" s="4">
        <f t="shared" si="1"/>
        <v>343832</v>
      </c>
      <c r="G40" s="16">
        <v>0.156</v>
      </c>
      <c r="H40" s="16">
        <v>0.28499999999999998</v>
      </c>
      <c r="I40" s="16">
        <v>0.307</v>
      </c>
      <c r="J40" s="16">
        <v>6.6000000000000003E-2</v>
      </c>
      <c r="K40" s="16">
        <v>8.5999999999999993E-2</v>
      </c>
      <c r="N40" s="4">
        <f>+'Pop Data'!E40</f>
        <v>46634</v>
      </c>
      <c r="O40" s="4">
        <f>+'Pop Data'!F40+'Pop Data'!G40</f>
        <v>95449</v>
      </c>
      <c r="P40" s="4">
        <f>+'Pop Data'!H40</f>
        <v>48629</v>
      </c>
      <c r="Q40" s="7">
        <f t="shared" si="2"/>
        <v>0.24452577708796511</v>
      </c>
      <c r="R40" s="7">
        <f t="shared" si="3"/>
        <v>0.5004876462938882</v>
      </c>
      <c r="S40" s="7">
        <f t="shared" si="4"/>
        <v>0.25498657661814672</v>
      </c>
      <c r="T40" s="4"/>
      <c r="U40" s="4"/>
      <c r="V40" s="78">
        <f t="shared" si="5"/>
        <v>0.22568984647007007</v>
      </c>
      <c r="W40" s="78">
        <f t="shared" si="6"/>
        <v>0.14263897919375812</v>
      </c>
      <c r="X40" s="78">
        <f t="shared" si="7"/>
        <v>7.2671174336171804E-2</v>
      </c>
      <c r="Y40" s="69"/>
      <c r="Z40" s="69"/>
      <c r="AA40" s="79">
        <f t="shared" si="8"/>
        <v>0.37967117433617181</v>
      </c>
      <c r="AB40" s="79">
        <f t="shared" si="9"/>
        <v>0.252</v>
      </c>
      <c r="AD40" s="87"/>
    </row>
    <row r="41" spans="1:30" x14ac:dyDescent="0.2">
      <c r="A41" s="17" t="s">
        <v>18</v>
      </c>
      <c r="B41" s="4">
        <v>496911</v>
      </c>
      <c r="C41" s="4">
        <v>408070</v>
      </c>
      <c r="D41" s="4">
        <v>0</v>
      </c>
      <c r="E41" s="4">
        <f t="shared" si="1"/>
        <v>904981</v>
      </c>
      <c r="G41" s="16">
        <v>0.16500000000000001</v>
      </c>
      <c r="H41" s="16">
        <v>0.29599999999999999</v>
      </c>
      <c r="I41" s="16">
        <v>0.30499999999999999</v>
      </c>
      <c r="J41" s="16">
        <v>0.14799999999999999</v>
      </c>
      <c r="K41" s="16">
        <v>8.5999999999999993E-2</v>
      </c>
      <c r="N41" s="4">
        <f>+'Pop Data'!E41</f>
        <v>142812</v>
      </c>
      <c r="O41" s="4">
        <f>+'Pop Data'!F41+'Pop Data'!G41</f>
        <v>291474</v>
      </c>
      <c r="P41" s="4">
        <f>+'Pop Data'!H41</f>
        <v>148745</v>
      </c>
      <c r="Q41" s="7">
        <f t="shared" si="2"/>
        <v>0.24494752423113009</v>
      </c>
      <c r="R41" s="7">
        <f t="shared" si="3"/>
        <v>0.49992882025141028</v>
      </c>
      <c r="S41" s="7">
        <f t="shared" si="4"/>
        <v>0.25512365551745964</v>
      </c>
      <c r="T41" s="4"/>
      <c r="U41" s="4"/>
      <c r="V41" s="78">
        <f t="shared" si="5"/>
        <v>0.23750446717241452</v>
      </c>
      <c r="W41" s="78">
        <f t="shared" si="6"/>
        <v>0.14797893079441743</v>
      </c>
      <c r="X41" s="78">
        <f t="shared" si="7"/>
        <v>7.5516602033168054E-2</v>
      </c>
      <c r="Y41" s="69"/>
      <c r="Z41" s="69"/>
      <c r="AA41" s="79">
        <f t="shared" si="8"/>
        <v>0.38051660203316806</v>
      </c>
      <c r="AB41" s="79">
        <f t="shared" si="9"/>
        <v>0.23399999999999999</v>
      </c>
      <c r="AD41" s="87"/>
    </row>
    <row r="42" spans="1:30" x14ac:dyDescent="0.2">
      <c r="A42" s="17" t="s">
        <v>19</v>
      </c>
      <c r="B42" s="4">
        <v>75784</v>
      </c>
      <c r="C42" s="4">
        <v>66417</v>
      </c>
      <c r="D42" s="4">
        <v>-4237</v>
      </c>
      <c r="E42" s="4">
        <f t="shared" si="1"/>
        <v>137964</v>
      </c>
      <c r="G42" s="16">
        <v>0.214</v>
      </c>
      <c r="H42" s="16">
        <v>0.28199999999999997</v>
      </c>
      <c r="I42" s="16">
        <v>0.27400000000000002</v>
      </c>
      <c r="J42" s="16">
        <v>0.153</v>
      </c>
      <c r="K42" s="16">
        <v>7.5999999999999998E-2</v>
      </c>
      <c r="N42" s="4">
        <f>+'Pop Data'!E42</f>
        <v>10926</v>
      </c>
      <c r="O42" s="4">
        <f>+'Pop Data'!F42+'Pop Data'!G42</f>
        <v>22548</v>
      </c>
      <c r="P42" s="4">
        <f>+'Pop Data'!H42</f>
        <v>11509</v>
      </c>
      <c r="Q42" s="7">
        <f t="shared" si="2"/>
        <v>0.24289175910899674</v>
      </c>
      <c r="R42" s="7">
        <f t="shared" si="3"/>
        <v>0.50125603005579888</v>
      </c>
      <c r="S42" s="7">
        <f t="shared" si="4"/>
        <v>0.25585221083520443</v>
      </c>
      <c r="T42" s="4"/>
      <c r="U42" s="4"/>
      <c r="V42" s="78">
        <f t="shared" si="5"/>
        <v>0.28249547606873704</v>
      </c>
      <c r="W42" s="78">
        <f t="shared" si="6"/>
        <v>0.14135420047573527</v>
      </c>
      <c r="X42" s="78">
        <f t="shared" si="7"/>
        <v>7.2150323455527646E-2</v>
      </c>
      <c r="Y42" s="69"/>
      <c r="Z42" s="69"/>
      <c r="AA42" s="79">
        <f t="shared" si="8"/>
        <v>0.34615032345552765</v>
      </c>
      <c r="AB42" s="79">
        <f t="shared" si="9"/>
        <v>0.22999999999999998</v>
      </c>
      <c r="AD42" s="87"/>
    </row>
    <row r="43" spans="1:30" x14ac:dyDescent="0.2">
      <c r="A43" s="17" t="s">
        <v>20</v>
      </c>
      <c r="B43" s="4">
        <v>95184</v>
      </c>
      <c r="C43" s="4">
        <v>53355</v>
      </c>
      <c r="D43" s="4">
        <v>0</v>
      </c>
      <c r="E43" s="4">
        <f t="shared" si="1"/>
        <v>148539</v>
      </c>
      <c r="G43" s="16">
        <v>0.183</v>
      </c>
      <c r="H43" s="16">
        <v>0.311</v>
      </c>
      <c r="I43" s="16">
        <v>0.29499999999999998</v>
      </c>
      <c r="J43" s="16">
        <v>0.14699999999999999</v>
      </c>
      <c r="K43" s="16">
        <v>6.3E-2</v>
      </c>
      <c r="N43" s="4">
        <f>+'Pop Data'!E43</f>
        <v>59572</v>
      </c>
      <c r="O43" s="4">
        <f>+'Pop Data'!F43+'Pop Data'!G43</f>
        <v>122095</v>
      </c>
      <c r="P43" s="4">
        <f>+'Pop Data'!H43</f>
        <v>62947</v>
      </c>
      <c r="Q43" s="7">
        <f t="shared" si="2"/>
        <v>0.24353471183170219</v>
      </c>
      <c r="R43" s="7">
        <f t="shared" si="3"/>
        <v>0.49913332842764518</v>
      </c>
      <c r="S43" s="7">
        <f t="shared" si="4"/>
        <v>0.25733195974065259</v>
      </c>
      <c r="T43" s="4"/>
      <c r="U43" s="4"/>
      <c r="V43" s="78">
        <f t="shared" si="5"/>
        <v>0.2587392953796594</v>
      </c>
      <c r="W43" s="78">
        <f t="shared" si="6"/>
        <v>0.15523046514099764</v>
      </c>
      <c r="X43" s="78">
        <f t="shared" si="7"/>
        <v>8.0030239479342957E-2</v>
      </c>
      <c r="Y43" s="69"/>
      <c r="Z43" s="69"/>
      <c r="AA43" s="79">
        <f t="shared" si="8"/>
        <v>0.37503023947934294</v>
      </c>
      <c r="AB43" s="79">
        <f t="shared" si="9"/>
        <v>0.21099999999999991</v>
      </c>
      <c r="AD43" s="87"/>
    </row>
    <row r="44" spans="1:30" x14ac:dyDescent="0.2">
      <c r="A44" s="17" t="s">
        <v>21</v>
      </c>
      <c r="B44" s="4">
        <v>18792</v>
      </c>
      <c r="C44" s="4">
        <v>8540</v>
      </c>
      <c r="D44" s="4">
        <v>0</v>
      </c>
      <c r="E44" s="4">
        <f t="shared" si="1"/>
        <v>27332</v>
      </c>
      <c r="G44" s="16">
        <v>0.11600000000000001</v>
      </c>
      <c r="H44" s="16">
        <v>0.26700000000000002</v>
      </c>
      <c r="I44" s="16">
        <v>0.35599999999999998</v>
      </c>
      <c r="J44" s="16">
        <v>0.17399999999999999</v>
      </c>
      <c r="K44" s="16">
        <v>8.7999999999999995E-2</v>
      </c>
      <c r="N44" s="4">
        <f>+'Pop Data'!E44</f>
        <v>11687</v>
      </c>
      <c r="O44" s="4">
        <f>+'Pop Data'!F44+'Pop Data'!G44</f>
        <v>24086</v>
      </c>
      <c r="P44" s="4">
        <f>+'Pop Data'!H44</f>
        <v>12207</v>
      </c>
      <c r="Q44" s="7">
        <f t="shared" si="2"/>
        <v>0.24358065860775324</v>
      </c>
      <c r="R44" s="7">
        <f t="shared" si="3"/>
        <v>0.50200083368070025</v>
      </c>
      <c r="S44" s="7">
        <f t="shared" si="4"/>
        <v>0.2544185077115465</v>
      </c>
      <c r="T44" s="4"/>
      <c r="U44" s="4"/>
      <c r="V44" s="78">
        <f t="shared" si="5"/>
        <v>0.1810360358482701</v>
      </c>
      <c r="W44" s="78">
        <f t="shared" si="6"/>
        <v>0.13403422259274697</v>
      </c>
      <c r="X44" s="78">
        <f t="shared" si="7"/>
        <v>6.7929741558982917E-2</v>
      </c>
      <c r="Y44" s="69"/>
      <c r="Z44" s="69"/>
      <c r="AA44" s="79">
        <f t="shared" si="8"/>
        <v>0.42392974155898289</v>
      </c>
      <c r="AB44" s="79">
        <f t="shared" si="9"/>
        <v>0.26100000000000001</v>
      </c>
      <c r="AD44" s="87"/>
    </row>
    <row r="45" spans="1:30" x14ac:dyDescent="0.2">
      <c r="A45" s="17" t="s">
        <v>22</v>
      </c>
      <c r="B45" s="4">
        <v>216352</v>
      </c>
      <c r="C45" s="4">
        <v>123990</v>
      </c>
      <c r="D45" s="4">
        <v>0</v>
      </c>
      <c r="E45" s="4">
        <f t="shared" si="1"/>
        <v>340342</v>
      </c>
      <c r="G45" s="16">
        <v>0.16700000000000001</v>
      </c>
      <c r="H45" s="16">
        <v>0.311</v>
      </c>
      <c r="I45" s="16">
        <v>0.30599999999999999</v>
      </c>
      <c r="J45" s="16">
        <v>0.14799999999999999</v>
      </c>
      <c r="K45" s="16">
        <v>6.8000000000000005E-2</v>
      </c>
      <c r="N45" s="4">
        <f>+'Pop Data'!E45</f>
        <v>80071</v>
      </c>
      <c r="O45" s="4">
        <f>+'Pop Data'!F45+'Pop Data'!G45</f>
        <v>164936</v>
      </c>
      <c r="P45" s="4">
        <f>+'Pop Data'!H45</f>
        <v>83606</v>
      </c>
      <c r="Q45" s="7">
        <f t="shared" si="2"/>
        <v>0.24366351909388856</v>
      </c>
      <c r="R45" s="7">
        <f t="shared" si="3"/>
        <v>0.50191562719673288</v>
      </c>
      <c r="S45" s="7">
        <f t="shared" si="4"/>
        <v>0.2544208537093785</v>
      </c>
      <c r="T45" s="4"/>
      <c r="U45" s="4"/>
      <c r="V45" s="78">
        <f t="shared" si="5"/>
        <v>0.24277935443819937</v>
      </c>
      <c r="W45" s="78">
        <f t="shared" si="6"/>
        <v>0.15609576005818393</v>
      </c>
      <c r="X45" s="78">
        <f t="shared" si="7"/>
        <v>7.912488550361671E-2</v>
      </c>
      <c r="Y45" s="69"/>
      <c r="Z45" s="69"/>
      <c r="AA45" s="79">
        <f t="shared" si="8"/>
        <v>0.38512488550361668</v>
      </c>
      <c r="AB45" s="79">
        <f t="shared" si="9"/>
        <v>0.21600000000000008</v>
      </c>
      <c r="AD45" s="87"/>
    </row>
    <row r="46" spans="1:30" x14ac:dyDescent="0.2">
      <c r="A46" s="17" t="s">
        <v>23</v>
      </c>
      <c r="B46" s="4">
        <v>442855</v>
      </c>
      <c r="C46" s="4">
        <v>438056</v>
      </c>
      <c r="D46" s="4">
        <v>0</v>
      </c>
      <c r="E46" s="4">
        <f t="shared" si="1"/>
        <v>880911</v>
      </c>
      <c r="G46" s="16">
        <v>0.13500000000000001</v>
      </c>
      <c r="H46" s="16">
        <v>0.29699999999999999</v>
      </c>
      <c r="I46" s="16">
        <v>0.33400000000000002</v>
      </c>
      <c r="J46" s="16">
        <v>0.16600000000000001</v>
      </c>
      <c r="K46" s="16">
        <v>6.8000000000000005E-2</v>
      </c>
      <c r="N46" s="4">
        <f>+'Pop Data'!E46</f>
        <v>389283</v>
      </c>
      <c r="O46" s="4">
        <f>+'Pop Data'!F46+'Pop Data'!G46</f>
        <v>784841</v>
      </c>
      <c r="P46" s="4">
        <f>+'Pop Data'!H46</f>
        <v>397104</v>
      </c>
      <c r="Q46" s="7">
        <f t="shared" si="2"/>
        <v>0.24775716827856936</v>
      </c>
      <c r="R46" s="7">
        <f t="shared" si="3"/>
        <v>0.49950802811558859</v>
      </c>
      <c r="S46" s="7">
        <f t="shared" si="4"/>
        <v>0.25273480360584205</v>
      </c>
      <c r="T46" s="4"/>
      <c r="U46" s="4"/>
      <c r="V46" s="78">
        <f t="shared" si="5"/>
        <v>0.20858387897873509</v>
      </c>
      <c r="W46" s="78">
        <f t="shared" si="6"/>
        <v>0.14835388435032981</v>
      </c>
      <c r="X46" s="78">
        <f t="shared" si="7"/>
        <v>7.506223667093509E-2</v>
      </c>
      <c r="Y46" s="69"/>
      <c r="Z46" s="69"/>
      <c r="AA46" s="79">
        <f t="shared" si="8"/>
        <v>0.40906223667093511</v>
      </c>
      <c r="AB46" s="79">
        <f t="shared" si="9"/>
        <v>0.23399999999999999</v>
      </c>
      <c r="AD46" s="87"/>
    </row>
    <row r="47" spans="1:30" x14ac:dyDescent="0.2">
      <c r="A47" s="17" t="s">
        <v>24</v>
      </c>
      <c r="B47" s="4">
        <v>71514</v>
      </c>
      <c r="C47" s="4">
        <v>24908</v>
      </c>
      <c r="D47" s="4">
        <v>0</v>
      </c>
      <c r="E47" s="4">
        <f t="shared" si="1"/>
        <v>96422</v>
      </c>
      <c r="G47" s="16">
        <v>0.13100000000000001</v>
      </c>
      <c r="H47" s="16">
        <v>0.27200000000000002</v>
      </c>
      <c r="I47" s="16">
        <v>0.33200000000000002</v>
      </c>
      <c r="J47" s="16">
        <v>0.191</v>
      </c>
      <c r="K47" s="16">
        <v>7.4999999999999997E-2</v>
      </c>
      <c r="N47" s="4">
        <f>+'Pop Data'!E47</f>
        <v>52182</v>
      </c>
      <c r="O47" s="4">
        <f>+'Pop Data'!F47+'Pop Data'!G47</f>
        <v>105586</v>
      </c>
      <c r="P47" s="4">
        <f>+'Pop Data'!H47</f>
        <v>52808</v>
      </c>
      <c r="Q47" s="7">
        <f t="shared" si="2"/>
        <v>0.24780601777980396</v>
      </c>
      <c r="R47" s="7">
        <f t="shared" si="3"/>
        <v>0.50141516602081904</v>
      </c>
      <c r="S47" s="7">
        <f t="shared" si="4"/>
        <v>0.25077881619937692</v>
      </c>
      <c r="T47" s="4"/>
      <c r="U47" s="4"/>
      <c r="V47" s="78">
        <f t="shared" si="5"/>
        <v>0.19840323683610669</v>
      </c>
      <c r="W47" s="78">
        <f t="shared" si="6"/>
        <v>0.13638492515766279</v>
      </c>
      <c r="X47" s="78">
        <f t="shared" si="7"/>
        <v>6.8211838006230527E-2</v>
      </c>
      <c r="Y47" s="69"/>
      <c r="Z47" s="69"/>
      <c r="AA47" s="79">
        <f t="shared" si="8"/>
        <v>0.40021183800623056</v>
      </c>
      <c r="AB47" s="79">
        <f t="shared" si="9"/>
        <v>0.26499999999999996</v>
      </c>
      <c r="AD47" s="87"/>
    </row>
    <row r="48" spans="1:30" x14ac:dyDescent="0.2">
      <c r="A48" s="17" t="s">
        <v>25</v>
      </c>
      <c r="B48" s="4">
        <v>33394</v>
      </c>
      <c r="C48" s="4">
        <v>34676</v>
      </c>
      <c r="D48" s="4">
        <v>0</v>
      </c>
      <c r="E48" s="4">
        <f t="shared" si="1"/>
        <v>68070</v>
      </c>
      <c r="G48" s="16">
        <v>0.188</v>
      </c>
      <c r="H48" s="16">
        <v>0.28599999999999998</v>
      </c>
      <c r="I48" s="16">
        <v>0.29899999999999999</v>
      </c>
      <c r="J48" s="16">
        <v>0.151</v>
      </c>
      <c r="K48" s="16">
        <v>7.6999999999999999E-2</v>
      </c>
      <c r="N48" s="4">
        <f>+'Pop Data'!E48</f>
        <v>5982</v>
      </c>
      <c r="O48" s="4">
        <f>+'Pop Data'!F48+'Pop Data'!G48</f>
        <v>12636</v>
      </c>
      <c r="P48" s="4">
        <f>+'Pop Data'!H48</f>
        <v>6721</v>
      </c>
      <c r="Q48" s="7">
        <f t="shared" si="2"/>
        <v>0.2360787718536643</v>
      </c>
      <c r="R48" s="7">
        <f t="shared" si="3"/>
        <v>0.49867792730573424</v>
      </c>
      <c r="S48" s="7">
        <f t="shared" si="4"/>
        <v>0.26524330084060144</v>
      </c>
      <c r="T48" s="4"/>
      <c r="U48" s="4"/>
      <c r="V48" s="78">
        <f t="shared" si="5"/>
        <v>0.25551852875014797</v>
      </c>
      <c r="W48" s="78">
        <f t="shared" si="6"/>
        <v>0.14262188720943997</v>
      </c>
      <c r="X48" s="78">
        <f t="shared" si="7"/>
        <v>7.5859584040412001E-2</v>
      </c>
      <c r="Y48" s="69"/>
      <c r="Z48" s="69"/>
      <c r="AA48" s="79">
        <f t="shared" si="8"/>
        <v>0.37485958404041198</v>
      </c>
      <c r="AB48" s="79">
        <f t="shared" si="9"/>
        <v>0.22699999999999998</v>
      </c>
      <c r="AD48" s="87"/>
    </row>
    <row r="49" spans="1:30" x14ac:dyDescent="0.2">
      <c r="A49" s="17" t="s">
        <v>26</v>
      </c>
      <c r="B49" s="4">
        <v>116252</v>
      </c>
      <c r="C49" s="4">
        <v>156482</v>
      </c>
      <c r="D49" s="4">
        <v>0</v>
      </c>
      <c r="E49" s="4">
        <f t="shared" si="1"/>
        <v>272734</v>
      </c>
      <c r="G49" s="16">
        <v>0.16</v>
      </c>
      <c r="H49" s="16">
        <v>0.307</v>
      </c>
      <c r="I49" s="16">
        <v>0.317</v>
      </c>
      <c r="J49" s="16">
        <v>0.14699999999999999</v>
      </c>
      <c r="K49" s="16">
        <v>6.9000000000000006E-2</v>
      </c>
      <c r="N49" s="4">
        <f>+'Pop Data'!E49</f>
        <v>101495</v>
      </c>
      <c r="O49" s="4">
        <f>+'Pop Data'!F49+'Pop Data'!G49</f>
        <v>205241</v>
      </c>
      <c r="P49" s="4">
        <f>+'Pop Data'!H49</f>
        <v>104249</v>
      </c>
      <c r="Q49" s="7">
        <f t="shared" si="2"/>
        <v>0.24695548499336958</v>
      </c>
      <c r="R49" s="7">
        <f t="shared" si="3"/>
        <v>0.49938805552514082</v>
      </c>
      <c r="S49" s="7">
        <f t="shared" si="4"/>
        <v>0.25365645948148957</v>
      </c>
      <c r="T49" s="4"/>
      <c r="U49" s="4"/>
      <c r="V49" s="78">
        <f t="shared" si="5"/>
        <v>0.23581533389296447</v>
      </c>
      <c r="W49" s="78">
        <f t="shared" si="6"/>
        <v>0.15331213304621824</v>
      </c>
      <c r="X49" s="78">
        <f t="shared" si="7"/>
        <v>7.7872533060817303E-2</v>
      </c>
      <c r="Y49" s="69"/>
      <c r="Z49" s="69"/>
      <c r="AA49" s="79">
        <f t="shared" si="8"/>
        <v>0.39487253306081732</v>
      </c>
      <c r="AB49" s="79">
        <f t="shared" si="9"/>
        <v>0.21599999999999991</v>
      </c>
      <c r="AD49" s="87"/>
    </row>
    <row r="50" spans="1:30" x14ac:dyDescent="0.2">
      <c r="A50" s="17" t="s">
        <v>27</v>
      </c>
      <c r="B50" s="4">
        <v>333531</v>
      </c>
      <c r="C50" s="4">
        <v>644212</v>
      </c>
      <c r="D50" s="4">
        <v>0</v>
      </c>
      <c r="E50" s="4">
        <f t="shared" si="1"/>
        <v>977743</v>
      </c>
      <c r="G50" s="16">
        <v>0.19700000000000001</v>
      </c>
      <c r="H50" s="16">
        <v>0.30399999999999999</v>
      </c>
      <c r="I50" s="16">
        <v>0.27900000000000003</v>
      </c>
      <c r="J50" s="16">
        <v>0.14299999999999999</v>
      </c>
      <c r="K50" s="16">
        <v>7.6999999999999999E-2</v>
      </c>
      <c r="N50" s="4">
        <f>+'Pop Data'!E50</f>
        <v>88823</v>
      </c>
      <c r="O50" s="4">
        <f>+'Pop Data'!F50+'Pop Data'!G50</f>
        <v>179060</v>
      </c>
      <c r="P50" s="4">
        <f>+'Pop Data'!H50</f>
        <v>90000</v>
      </c>
      <c r="Q50" s="7">
        <f t="shared" si="2"/>
        <v>0.24819005093843519</v>
      </c>
      <c r="R50" s="7">
        <f t="shared" si="3"/>
        <v>0.50033111379976136</v>
      </c>
      <c r="S50" s="7">
        <f t="shared" si="4"/>
        <v>0.25147883526180342</v>
      </c>
      <c r="T50" s="4"/>
      <c r="U50" s="4"/>
      <c r="V50" s="78">
        <f t="shared" si="5"/>
        <v>0.27244977548528432</v>
      </c>
      <c r="W50" s="78">
        <f t="shared" si="6"/>
        <v>0.15210065859512745</v>
      </c>
      <c r="X50" s="78">
        <f t="shared" si="7"/>
        <v>7.6449565919588236E-2</v>
      </c>
      <c r="Y50" s="69"/>
      <c r="Z50" s="69"/>
      <c r="AA50" s="79">
        <f t="shared" si="8"/>
        <v>0.35544956591958826</v>
      </c>
      <c r="AB50" s="79">
        <f t="shared" si="9"/>
        <v>0.21999999999999992</v>
      </c>
      <c r="AD50" s="87"/>
    </row>
    <row r="51" spans="1:30" x14ac:dyDescent="0.2">
      <c r="A51" s="17" t="s">
        <v>28</v>
      </c>
      <c r="B51" s="4">
        <v>99148</v>
      </c>
      <c r="C51" s="4">
        <v>34446</v>
      </c>
      <c r="D51" s="4">
        <v>0</v>
      </c>
      <c r="E51" s="4">
        <f t="shared" si="1"/>
        <v>133594</v>
      </c>
      <c r="G51" s="16">
        <v>0.159</v>
      </c>
      <c r="H51" s="16">
        <v>0.28399999999999997</v>
      </c>
      <c r="I51" s="16">
        <v>0.314</v>
      </c>
      <c r="J51" s="16">
        <v>0.16700000000000001</v>
      </c>
      <c r="K51" s="16">
        <v>7.6999999999999999E-2</v>
      </c>
      <c r="N51" s="4">
        <f>+'Pop Data'!E51</f>
        <v>20390</v>
      </c>
      <c r="O51" s="4">
        <f>+'Pop Data'!F51+'Pop Data'!G51</f>
        <v>41977</v>
      </c>
      <c r="P51" s="4">
        <f>+'Pop Data'!H51</f>
        <v>21178</v>
      </c>
      <c r="Q51" s="7">
        <f t="shared" si="2"/>
        <v>0.24406008737805973</v>
      </c>
      <c r="R51" s="7">
        <f t="shared" si="3"/>
        <v>0.50244778263211443</v>
      </c>
      <c r="S51" s="7">
        <f t="shared" si="4"/>
        <v>0.25349212998982584</v>
      </c>
      <c r="T51" s="4"/>
      <c r="U51" s="4"/>
      <c r="V51" s="78">
        <f t="shared" si="5"/>
        <v>0.22831306481536895</v>
      </c>
      <c r="W51" s="78">
        <f t="shared" si="6"/>
        <v>0.14269517026752049</v>
      </c>
      <c r="X51" s="78">
        <f t="shared" si="7"/>
        <v>7.1991764917110526E-2</v>
      </c>
      <c r="Y51" s="69"/>
      <c r="Z51" s="69"/>
      <c r="AA51" s="79">
        <f t="shared" si="8"/>
        <v>0.38599176491711051</v>
      </c>
      <c r="AB51" s="79">
        <f t="shared" si="9"/>
        <v>0.2430000000000001</v>
      </c>
      <c r="AD51" s="87"/>
    </row>
    <row r="52" spans="1:30" x14ac:dyDescent="0.2">
      <c r="A52" s="17" t="s">
        <v>29</v>
      </c>
      <c r="B52" s="4">
        <v>271031</v>
      </c>
      <c r="C52" s="4">
        <v>254012</v>
      </c>
      <c r="D52" s="4">
        <v>0</v>
      </c>
      <c r="E52" s="4">
        <f t="shared" si="1"/>
        <v>525043</v>
      </c>
      <c r="G52" s="16">
        <v>0.161</v>
      </c>
      <c r="H52" s="16">
        <v>0.27800000000000002</v>
      </c>
      <c r="I52" s="16">
        <v>0.29399999999999998</v>
      </c>
      <c r="J52" s="16">
        <v>0.17199999999999999</v>
      </c>
      <c r="K52" s="16">
        <v>9.5000000000000001E-2</v>
      </c>
      <c r="N52" s="4">
        <f>+'Pop Data'!E52</f>
        <v>70300</v>
      </c>
      <c r="O52" s="4">
        <f>+'Pop Data'!F52+'Pop Data'!G52</f>
        <v>142671</v>
      </c>
      <c r="P52" s="4">
        <f>+'Pop Data'!H52</f>
        <v>73620</v>
      </c>
      <c r="Q52" s="7">
        <f t="shared" si="2"/>
        <v>0.2452973052189357</v>
      </c>
      <c r="R52" s="7">
        <f t="shared" si="3"/>
        <v>0.49782093645648329</v>
      </c>
      <c r="S52" s="7">
        <f t="shared" si="4"/>
        <v>0.25688175832458104</v>
      </c>
      <c r="T52" s="4"/>
      <c r="U52" s="4"/>
      <c r="V52" s="78">
        <f t="shared" si="5"/>
        <v>0.22919265085086413</v>
      </c>
      <c r="W52" s="78">
        <f t="shared" si="6"/>
        <v>0.13839422033490237</v>
      </c>
      <c r="X52" s="78">
        <f t="shared" si="7"/>
        <v>7.1413128814233534E-2</v>
      </c>
      <c r="Y52" s="69"/>
      <c r="Z52" s="69"/>
      <c r="AA52" s="79">
        <f t="shared" si="8"/>
        <v>0.36541312881423349</v>
      </c>
      <c r="AB52" s="79">
        <f t="shared" si="9"/>
        <v>0.26700000000000002</v>
      </c>
      <c r="AD52" s="87"/>
    </row>
    <row r="53" spans="1:30" x14ac:dyDescent="0.2">
      <c r="A53" s="17" t="s">
        <v>30</v>
      </c>
      <c r="B53" s="4">
        <v>19595</v>
      </c>
      <c r="C53" s="4">
        <v>9929</v>
      </c>
      <c r="D53" s="4">
        <v>0</v>
      </c>
      <c r="E53" s="4">
        <f t="shared" si="1"/>
        <v>29524</v>
      </c>
      <c r="G53" s="16">
        <v>0.108</v>
      </c>
      <c r="H53" s="16">
        <v>0.24399999999999999</v>
      </c>
      <c r="I53" s="16">
        <v>0.35899999999999999</v>
      </c>
      <c r="J53" s="16">
        <v>0.21</v>
      </c>
      <c r="K53" s="16">
        <v>0.08</v>
      </c>
      <c r="N53" s="4">
        <f>+'Pop Data'!E53</f>
        <v>7733</v>
      </c>
      <c r="O53" s="4">
        <f>+'Pop Data'!F53+'Pop Data'!G53</f>
        <v>16141</v>
      </c>
      <c r="P53" s="4">
        <f>+'Pop Data'!H53</f>
        <v>8231</v>
      </c>
      <c r="Q53" s="7">
        <f t="shared" si="2"/>
        <v>0.24086590873695687</v>
      </c>
      <c r="R53" s="7">
        <f t="shared" si="3"/>
        <v>0.50275657997196699</v>
      </c>
      <c r="S53" s="7">
        <f t="shared" si="4"/>
        <v>0.25637751129107617</v>
      </c>
      <c r="T53" s="4"/>
      <c r="U53" s="4"/>
      <c r="V53" s="78">
        <f t="shared" si="5"/>
        <v>0.16677128173181749</v>
      </c>
      <c r="W53" s="78">
        <f t="shared" si="6"/>
        <v>0.12267260551315995</v>
      </c>
      <c r="X53" s="78">
        <f t="shared" si="7"/>
        <v>6.2556112755022583E-2</v>
      </c>
      <c r="Y53" s="69"/>
      <c r="Z53" s="69"/>
      <c r="AA53" s="79">
        <f t="shared" si="8"/>
        <v>0.42155611275502258</v>
      </c>
      <c r="AB53" s="79">
        <f t="shared" si="9"/>
        <v>0.28900000000000003</v>
      </c>
      <c r="AD53" s="87"/>
    </row>
    <row r="54" spans="1:30" x14ac:dyDescent="0.2">
      <c r="A54" s="17"/>
    </row>
    <row r="55" spans="1:30" x14ac:dyDescent="0.2">
      <c r="A55" s="18" t="s">
        <v>32</v>
      </c>
      <c r="B55" s="4">
        <f>SUM(B4:B53)</f>
        <v>14045828</v>
      </c>
      <c r="C55" s="4">
        <f t="shared" ref="C55" si="10">SUM(C4:C53)</f>
        <v>14651064</v>
      </c>
      <c r="D55" s="4">
        <f>SUM(D4:D54)</f>
        <v>-526151</v>
      </c>
      <c r="E55" s="4">
        <f>SUM(E4:E54)</f>
        <v>28170741</v>
      </c>
    </row>
    <row r="57" spans="1:30" x14ac:dyDescent="0.2">
      <c r="A57" t="s">
        <v>85</v>
      </c>
    </row>
    <row r="58" spans="1:30" x14ac:dyDescent="0.2">
      <c r="A58" t="s">
        <v>86</v>
      </c>
    </row>
    <row r="61" spans="1:30" x14ac:dyDescent="0.2">
      <c r="A61" t="s">
        <v>78</v>
      </c>
    </row>
  </sheetData>
  <phoneticPr fontId="8"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tabColor rgb="FF00B0F0"/>
  </sheetPr>
  <dimension ref="A1:AK64"/>
  <sheetViews>
    <sheetView topLeftCell="I1" zoomScale="85" zoomScaleNormal="85" zoomScalePageLayoutView="85" workbookViewId="0">
      <selection activeCell="Q4" sqref="Q4"/>
    </sheetView>
  </sheetViews>
  <sheetFormatPr baseColWidth="10" defaultColWidth="8.83203125" defaultRowHeight="15" x14ac:dyDescent="0.2"/>
  <cols>
    <col min="1" max="1" width="21" customWidth="1"/>
    <col min="2" max="3" width="13.5" style="4" customWidth="1"/>
    <col min="4" max="4" width="13.5" style="29" customWidth="1"/>
    <col min="5" max="5" width="13.5" style="4" customWidth="1"/>
    <col min="6" max="6" width="14.33203125" style="4" customWidth="1"/>
    <col min="7" max="7" width="7.1640625" style="4" customWidth="1"/>
    <col min="8" max="10" width="11.5" style="4" customWidth="1"/>
    <col min="11" max="11" width="6" style="4" customWidth="1"/>
    <col min="12" max="12" width="11.5" style="4" customWidth="1"/>
    <col min="13" max="13" width="16" customWidth="1"/>
    <col min="14" max="14" width="6.5" customWidth="1"/>
    <col min="15" max="18" width="16" customWidth="1"/>
    <col min="19" max="19" width="6.5" customWidth="1"/>
    <col min="20" max="24" width="16" customWidth="1"/>
    <col min="25" max="26" width="16" style="16" customWidth="1"/>
    <col min="27" max="29" width="16" customWidth="1"/>
    <col min="30" max="30" width="4.83203125" customWidth="1"/>
    <col min="31" max="32" width="16" customWidth="1"/>
    <col min="34" max="39" width="15.6640625" customWidth="1"/>
  </cols>
  <sheetData>
    <row r="1" spans="1:37" ht="16" thickTop="1" x14ac:dyDescent="0.2">
      <c r="A1" s="1" t="s">
        <v>38</v>
      </c>
      <c r="H1" s="98"/>
      <c r="I1" s="99"/>
      <c r="J1" s="100"/>
      <c r="K1" s="20"/>
    </row>
    <row r="2" spans="1:37" x14ac:dyDescent="0.2">
      <c r="A2" s="2" t="s">
        <v>104</v>
      </c>
      <c r="E2" s="30" t="s">
        <v>94</v>
      </c>
      <c r="H2" s="101"/>
      <c r="I2" s="20"/>
      <c r="J2" s="102"/>
      <c r="K2" s="20"/>
      <c r="AH2" t="s">
        <v>323</v>
      </c>
    </row>
    <row r="3" spans="1:37" s="3" customFormat="1" ht="75" x14ac:dyDescent="0.2">
      <c r="B3" s="5" t="s">
        <v>91</v>
      </c>
      <c r="C3" s="5" t="s">
        <v>98</v>
      </c>
      <c r="D3" s="31" t="s">
        <v>95</v>
      </c>
      <c r="E3" s="5" t="s">
        <v>93</v>
      </c>
      <c r="F3" s="5" t="s">
        <v>96</v>
      </c>
      <c r="G3" s="5"/>
      <c r="H3" s="103" t="s">
        <v>311</v>
      </c>
      <c r="I3" s="104" t="s">
        <v>312</v>
      </c>
      <c r="J3" s="105" t="s">
        <v>313</v>
      </c>
      <c r="K3" s="104"/>
      <c r="L3" s="5" t="s">
        <v>222</v>
      </c>
      <c r="M3" s="3" t="s">
        <v>97</v>
      </c>
      <c r="O3" s="3" t="s">
        <v>314</v>
      </c>
      <c r="P3" s="3" t="s">
        <v>315</v>
      </c>
      <c r="Q3" s="3" t="s">
        <v>316</v>
      </c>
      <c r="R3" s="3" t="s">
        <v>317</v>
      </c>
      <c r="T3" s="3" t="s">
        <v>321</v>
      </c>
      <c r="U3" s="3" t="s">
        <v>322</v>
      </c>
      <c r="V3" s="71" t="s">
        <v>319</v>
      </c>
      <c r="W3" s="71" t="s">
        <v>320</v>
      </c>
      <c r="Y3" s="43" t="s">
        <v>328</v>
      </c>
      <c r="Z3" s="43" t="s">
        <v>329</v>
      </c>
      <c r="AA3" s="3" t="s">
        <v>330</v>
      </c>
      <c r="AB3" s="3" t="s">
        <v>331</v>
      </c>
      <c r="AC3" s="3" t="s">
        <v>334</v>
      </c>
      <c r="AE3" s="3" t="s">
        <v>332</v>
      </c>
      <c r="AF3" s="3" t="s">
        <v>333</v>
      </c>
      <c r="AH3" s="3" t="s">
        <v>324</v>
      </c>
      <c r="AI3" s="3" t="s">
        <v>325</v>
      </c>
      <c r="AJ3" s="3" t="s">
        <v>326</v>
      </c>
      <c r="AK3" s="3" t="s">
        <v>327</v>
      </c>
    </row>
    <row r="4" spans="1:37" x14ac:dyDescent="0.2">
      <c r="A4" s="17" t="s">
        <v>109</v>
      </c>
      <c r="B4" s="4">
        <v>1390012</v>
      </c>
      <c r="C4" s="4">
        <v>910244</v>
      </c>
      <c r="D4" s="29">
        <v>127.26</v>
      </c>
      <c r="E4" s="4">
        <f>-C4*(D4*3*0.001)</f>
        <v>-347512.95432000008</v>
      </c>
      <c r="F4" s="4">
        <f>+B4+E4</f>
        <v>1042499.04568</v>
      </c>
      <c r="H4" s="101">
        <v>29231</v>
      </c>
      <c r="I4" s="20">
        <v>84923</v>
      </c>
      <c r="J4" s="102">
        <f>+H4+I4</f>
        <v>114154</v>
      </c>
      <c r="K4" s="20"/>
      <c r="L4" s="4">
        <v>36221</v>
      </c>
      <c r="M4" s="6">
        <f>+F4+J4+L4</f>
        <v>1192874.04568</v>
      </c>
      <c r="N4" s="6"/>
      <c r="O4" s="6">
        <v>124</v>
      </c>
      <c r="P4" s="6">
        <v>280</v>
      </c>
      <c r="Q4" s="7">
        <f>+O4/(O4+P4)</f>
        <v>0.30693069306930693</v>
      </c>
      <c r="R4" s="7">
        <f>+P4/(O4+P4)</f>
        <v>0.69306930693069302</v>
      </c>
      <c r="S4" s="6"/>
      <c r="T4" s="96">
        <f>+Q4*'Low Income Pop'!O4</f>
        <v>0.18389177051207922</v>
      </c>
      <c r="U4" s="96">
        <f>+Q4*'Low Income Pop'!P4</f>
        <v>0.12303892255722769</v>
      </c>
      <c r="V4" s="96">
        <f>+R4*'Low Income Pop'!S4</f>
        <v>0.41222539343644921</v>
      </c>
      <c r="W4" s="96">
        <f>+R4*'Low Income Pop'!T4</f>
        <v>0.28084391349424381</v>
      </c>
      <c r="X4" s="110"/>
      <c r="Y4" s="16">
        <v>0.49399999999999999</v>
      </c>
      <c r="Z4" s="4">
        <f>+J4*(1-Y4)</f>
        <v>57761.923999999999</v>
      </c>
      <c r="AA4" s="6">
        <f>38285+29440+20656</f>
        <v>88381</v>
      </c>
      <c r="AB4" s="6">
        <f>18487+13315</f>
        <v>31802</v>
      </c>
      <c r="AC4" s="6">
        <f>+AA4+AB4</f>
        <v>120183</v>
      </c>
      <c r="AD4" s="6"/>
      <c r="AE4" s="7">
        <f>+AA4/AC4</f>
        <v>0.73538686835908573</v>
      </c>
      <c r="AF4" s="7">
        <f>+AB4/AC4</f>
        <v>0.26461313164091427</v>
      </c>
      <c r="AH4" s="4">
        <f>+($F4*T4)+($Z4*AE4)+($L4*'Low Income Pop'!G4)</f>
        <v>240890.61008144045</v>
      </c>
      <c r="AI4" s="4">
        <f>+($F4*U4)+($Z4*AF4)+($L4*'Low Income Pop'!H4)</f>
        <v>148039.56614127557</v>
      </c>
      <c r="AJ4" s="4">
        <f>+($F4*V4)+($L4*'Low Income Pop'!I4)</f>
        <v>444630.61499110371</v>
      </c>
      <c r="AK4" s="4">
        <f>+($F4*W4)+($L4*'Low Income Pop'!J4)</f>
        <v>302921.17846618016</v>
      </c>
    </row>
    <row r="5" spans="1:37" x14ac:dyDescent="0.2">
      <c r="A5" s="17" t="s">
        <v>110</v>
      </c>
      <c r="B5" s="4">
        <v>186325</v>
      </c>
      <c r="C5" s="4">
        <v>91298</v>
      </c>
      <c r="D5" s="32">
        <v>170.07</v>
      </c>
      <c r="E5" s="4">
        <f t="shared" ref="E5:E53" si="0">-C5*(D5*3*0.001)</f>
        <v>-46581.152579999994</v>
      </c>
      <c r="F5" s="4">
        <f t="shared" ref="F5:F53" si="1">+B5+E5</f>
        <v>139743.84742000001</v>
      </c>
      <c r="H5" s="101">
        <v>7270</v>
      </c>
      <c r="I5" s="20">
        <v>16103</v>
      </c>
      <c r="J5" s="102">
        <f t="shared" ref="J5:J53" si="2">+H5+I5</f>
        <v>23373</v>
      </c>
      <c r="K5" s="20"/>
      <c r="L5" s="4">
        <v>7800</v>
      </c>
      <c r="M5" s="6">
        <f t="shared" ref="M5:M53" si="3">+F5+J5+L5</f>
        <v>170916.84742000001</v>
      </c>
      <c r="N5" s="6"/>
      <c r="O5" s="6">
        <v>14</v>
      </c>
      <c r="P5" s="6">
        <v>26</v>
      </c>
      <c r="Q5" s="7">
        <f t="shared" ref="Q5:Q53" si="4">+O5/(O5+P5)</f>
        <v>0.35</v>
      </c>
      <c r="R5" s="7">
        <f t="shared" ref="R5:R53" si="5">+P5/(O5+P5)</f>
        <v>0.65</v>
      </c>
      <c r="S5" s="6"/>
      <c r="T5" s="68">
        <f>+Q5*'Low Income Pop'!O5</f>
        <v>0.21241079739373253</v>
      </c>
      <c r="U5" s="68">
        <f>+Q5*'Low Income Pop'!P5</f>
        <v>0.13758920260626745</v>
      </c>
      <c r="V5" s="68">
        <f>+R5*'Low Income Pop'!S5</f>
        <v>0.36166753721598327</v>
      </c>
      <c r="W5" s="68">
        <f>+R5*'Low Income Pop'!T5</f>
        <v>0.28833246278401675</v>
      </c>
      <c r="X5" s="110"/>
      <c r="Y5" s="16">
        <v>0.45800000000000002</v>
      </c>
      <c r="Z5" s="4">
        <f t="shared" ref="Z5:Z53" si="6">+J5*(1-Y5)</f>
        <v>12668.166000000001</v>
      </c>
      <c r="AA5" s="6">
        <f>6570+4377+3643</f>
        <v>14590</v>
      </c>
      <c r="AB5" s="6">
        <f>3292+2380</f>
        <v>5672</v>
      </c>
      <c r="AC5" s="6">
        <f t="shared" ref="AC5:AC53" si="7">+AA5+AB5</f>
        <v>20262</v>
      </c>
      <c r="AD5" s="6"/>
      <c r="AE5" s="7">
        <f t="shared" ref="AE5:AE53" si="8">+AA5/AC5</f>
        <v>0.72006712071858647</v>
      </c>
      <c r="AF5" s="7">
        <f t="shared" ref="AF5:AF53" si="9">+AB5/AC5</f>
        <v>0.27993287928141347</v>
      </c>
      <c r="AH5" s="4">
        <f>+($F5*T5)+($Z5*AE5)+($L5*'Low Income Pop'!G5)</f>
        <v>40717.678349913796</v>
      </c>
      <c r="AI5" s="4">
        <f>+($F5*U5)+($Z5*AF5)+($L5*'Low Income Pop'!H5)</f>
        <v>24012.398449420834</v>
      </c>
      <c r="AJ5" s="4">
        <f>+($F5*V5)+($L5*'Low Income Pop'!I5)</f>
        <v>53127.256717244076</v>
      </c>
      <c r="AK5" s="4">
        <f>+($F5*W5)+($L5*'Low Income Pop'!J5)</f>
        <v>42354.679903421304</v>
      </c>
    </row>
    <row r="6" spans="1:37" x14ac:dyDescent="0.2">
      <c r="A6" s="17" t="s">
        <v>111</v>
      </c>
      <c r="B6" s="4">
        <v>1706601</v>
      </c>
      <c r="C6" s="4">
        <v>1123974</v>
      </c>
      <c r="D6" s="29">
        <v>126.53</v>
      </c>
      <c r="E6" s="4">
        <f t="shared" si="0"/>
        <v>-426649.29066000006</v>
      </c>
      <c r="F6" s="4">
        <f t="shared" si="1"/>
        <v>1279951.7093400001</v>
      </c>
      <c r="H6" s="101">
        <v>3966</v>
      </c>
      <c r="I6" s="20">
        <v>97759</v>
      </c>
      <c r="J6" s="102">
        <f t="shared" si="2"/>
        <v>101725</v>
      </c>
      <c r="K6" s="20"/>
      <c r="L6" s="4">
        <v>40838</v>
      </c>
      <c r="M6" s="6">
        <f t="shared" si="3"/>
        <v>1422514.7093400001</v>
      </c>
      <c r="N6" s="6"/>
      <c r="O6" s="6">
        <v>166</v>
      </c>
      <c r="P6" s="6">
        <v>362</v>
      </c>
      <c r="Q6" s="7">
        <f t="shared" si="4"/>
        <v>0.31439393939393939</v>
      </c>
      <c r="R6" s="7">
        <f t="shared" si="5"/>
        <v>0.68560606060606055</v>
      </c>
      <c r="S6" s="6"/>
      <c r="T6" s="68">
        <f>+Q6*'Low Income Pop'!O6</f>
        <v>0.18424705000155431</v>
      </c>
      <c r="U6" s="68">
        <f>+Q6*'Low Income Pop'!P6</f>
        <v>0.13014688939238508</v>
      </c>
      <c r="V6" s="68">
        <f>+R6*'Low Income Pop'!S6</f>
        <v>0.36410413103426337</v>
      </c>
      <c r="W6" s="68">
        <f>+R6*'Low Income Pop'!T6</f>
        <v>0.32150192957179718</v>
      </c>
      <c r="X6" s="110"/>
      <c r="Y6" s="16">
        <v>0.38900000000000001</v>
      </c>
      <c r="Z6" s="4">
        <f t="shared" si="6"/>
        <v>62153.974999999999</v>
      </c>
      <c r="AA6" s="6">
        <f>47353+28639+22066</f>
        <v>98058</v>
      </c>
      <c r="AB6" s="6">
        <f>20679+19406</f>
        <v>40085</v>
      </c>
      <c r="AC6" s="6">
        <f t="shared" si="7"/>
        <v>138143</v>
      </c>
      <c r="AD6" s="6"/>
      <c r="AE6" s="7">
        <f t="shared" si="8"/>
        <v>0.70982966925577118</v>
      </c>
      <c r="AF6" s="7">
        <f t="shared" si="9"/>
        <v>0.29017033074422882</v>
      </c>
      <c r="AH6" s="4">
        <f>+($F6*T6)+($Z6*AE6)+($L6*'Low Income Pop'!G6)</f>
        <v>288696.28125523054</v>
      </c>
      <c r="AI6" s="4">
        <f>+($F6*U6)+($Z6*AF6)+($L6*'Low Income Pop'!H6)</f>
        <v>190797.87960521042</v>
      </c>
      <c r="AJ6" s="4">
        <f>+($F6*V6)+($L6*'Low Income Pop'!I6)</f>
        <v>479794.04293634731</v>
      </c>
      <c r="AK6" s="4">
        <f>+($F6*W6)+($L6*'Low Income Pop'!J6)</f>
        <v>423655.48054321168</v>
      </c>
    </row>
    <row r="7" spans="1:37" x14ac:dyDescent="0.2">
      <c r="A7" s="17" t="s">
        <v>112</v>
      </c>
      <c r="B7" s="4">
        <v>733397</v>
      </c>
      <c r="C7" s="4">
        <v>502125</v>
      </c>
      <c r="D7" s="29">
        <v>121.72</v>
      </c>
      <c r="E7" s="4">
        <f t="shared" si="0"/>
        <v>-183355.965</v>
      </c>
      <c r="F7" s="4">
        <f t="shared" si="1"/>
        <v>550041.03500000003</v>
      </c>
      <c r="H7" s="101">
        <v>18874</v>
      </c>
      <c r="I7" s="20">
        <v>51814</v>
      </c>
      <c r="J7" s="102">
        <f t="shared" si="2"/>
        <v>70688</v>
      </c>
      <c r="K7" s="20"/>
      <c r="L7" s="4">
        <v>46171</v>
      </c>
      <c r="M7" s="6">
        <f t="shared" si="3"/>
        <v>666900.03500000003</v>
      </c>
      <c r="N7" s="6"/>
      <c r="O7" s="6">
        <v>78</v>
      </c>
      <c r="P7" s="6">
        <v>146</v>
      </c>
      <c r="Q7" s="7">
        <f t="shared" si="4"/>
        <v>0.3482142857142857</v>
      </c>
      <c r="R7" s="7">
        <f t="shared" si="5"/>
        <v>0.6517857142857143</v>
      </c>
      <c r="S7" s="6"/>
      <c r="T7" s="68">
        <f>+Q7*'Low Income Pop'!O7</f>
        <v>0.20630393893676099</v>
      </c>
      <c r="U7" s="68">
        <f>+Q7*'Low Income Pop'!P7</f>
        <v>0.14191034677752473</v>
      </c>
      <c r="V7" s="68">
        <f>+R7*'Low Income Pop'!S7</f>
        <v>0.36184573986627128</v>
      </c>
      <c r="W7" s="68">
        <f>+R7*'Low Income Pop'!T7</f>
        <v>0.28993997441944303</v>
      </c>
      <c r="X7" s="110"/>
      <c r="Y7" s="16">
        <v>0.45800000000000002</v>
      </c>
      <c r="Z7" s="4">
        <f t="shared" si="6"/>
        <v>38312.896000000001</v>
      </c>
      <c r="AA7" s="6">
        <f>25850+19012+14093</f>
        <v>58955</v>
      </c>
      <c r="AB7" s="6">
        <f>11729+7792+1</f>
        <v>19522</v>
      </c>
      <c r="AC7" s="6">
        <f t="shared" si="7"/>
        <v>78477</v>
      </c>
      <c r="AD7" s="6"/>
      <c r="AE7" s="7">
        <f t="shared" si="8"/>
        <v>0.75123921658575121</v>
      </c>
      <c r="AF7" s="7">
        <f t="shared" si="9"/>
        <v>0.24876078341424876</v>
      </c>
      <c r="AH7" s="4">
        <f>+($F7*T7)+($Z7*AE7)+($L7*'Low Income Pop'!G7)</f>
        <v>152071.98154957604</v>
      </c>
      <c r="AI7" s="4">
        <f>+($F7*U7)+($Z7*AF7)+($L7*'Low Income Pop'!H7)</f>
        <v>94338.156114469777</v>
      </c>
      <c r="AJ7" s="4">
        <f>+($F7*V7)+($L7*'Low Income Pop'!I7)</f>
        <v>215466.03656632401</v>
      </c>
      <c r="AK7" s="4">
        <f>+($F7*W7)+($L7*'Low Income Pop'!J7)</f>
        <v>172648.75676963021</v>
      </c>
    </row>
    <row r="8" spans="1:37" x14ac:dyDescent="0.2">
      <c r="A8" s="17" t="s">
        <v>113</v>
      </c>
      <c r="B8" s="4">
        <v>7090221</v>
      </c>
      <c r="C8" s="4">
        <v>3964221</v>
      </c>
      <c r="D8" s="29">
        <v>149.05000000000001</v>
      </c>
      <c r="E8" s="4">
        <f t="shared" si="0"/>
        <v>-1772601.4201500001</v>
      </c>
      <c r="F8" s="4">
        <f t="shared" si="1"/>
        <v>5317619.5798499994</v>
      </c>
      <c r="H8" s="101">
        <v>301097</v>
      </c>
      <c r="I8" s="20">
        <v>872015</v>
      </c>
      <c r="J8" s="102">
        <f t="shared" si="2"/>
        <v>1173112</v>
      </c>
      <c r="K8" s="20"/>
      <c r="L8" s="4">
        <v>263042</v>
      </c>
      <c r="M8" s="6">
        <f t="shared" si="3"/>
        <v>6753773.5798499994</v>
      </c>
      <c r="N8" s="6"/>
      <c r="O8" s="6">
        <v>731</v>
      </c>
      <c r="P8" s="6">
        <v>1486</v>
      </c>
      <c r="Q8" s="7">
        <f t="shared" si="4"/>
        <v>0.32972485340550295</v>
      </c>
      <c r="R8" s="7">
        <f t="shared" si="5"/>
        <v>0.67027514659449705</v>
      </c>
      <c r="S8" s="6"/>
      <c r="T8" s="68">
        <f>+Q8*'Low Income Pop'!O8</f>
        <v>0.19815987595740833</v>
      </c>
      <c r="U8" s="68">
        <f>+Q8*'Low Income Pop'!P8</f>
        <v>0.13156497744809462</v>
      </c>
      <c r="V8" s="68">
        <f>+R8*'Low Income Pop'!S8</f>
        <v>0.34461636038513876</v>
      </c>
      <c r="W8" s="68">
        <f>+R8*'Low Income Pop'!T8</f>
        <v>0.32565878620935834</v>
      </c>
      <c r="X8" s="110"/>
      <c r="Y8" s="16">
        <v>0.434</v>
      </c>
      <c r="Z8" s="4">
        <f t="shared" si="6"/>
        <v>663981.39200000011</v>
      </c>
      <c r="AA8" s="106"/>
      <c r="AB8" s="106"/>
      <c r="AC8" s="6">
        <f t="shared" si="7"/>
        <v>0</v>
      </c>
      <c r="AD8" s="6"/>
      <c r="AE8" s="107">
        <v>0.73</v>
      </c>
      <c r="AF8" s="107">
        <v>0.27</v>
      </c>
      <c r="AH8" s="4">
        <f>+($F8*T8)+($Z8*AE8)+($L8*'Low Income Pop'!G8)</f>
        <v>1593878.5844807185</v>
      </c>
      <c r="AI8" s="4">
        <f>+($F8*U8)+($Z8*AF8)+($L8*'Low Income Pop'!H8)</f>
        <v>915691.52134962042</v>
      </c>
      <c r="AJ8" s="4">
        <f>+($F8*V8)+($L8*'Low Income Pop'!I8)</f>
        <v>1920356.4736075387</v>
      </c>
      <c r="AK8" s="4">
        <f>+($F8*W8)+($L8*'Low Income Pop'!J8)</f>
        <v>1814716.3924121221</v>
      </c>
    </row>
    <row r="9" spans="1:37" x14ac:dyDescent="0.2">
      <c r="A9" s="17" t="s">
        <v>115</v>
      </c>
      <c r="B9" s="4">
        <v>808505</v>
      </c>
      <c r="C9" s="4">
        <v>491630</v>
      </c>
      <c r="D9" s="29">
        <v>137.05000000000001</v>
      </c>
      <c r="E9" s="4">
        <f t="shared" si="0"/>
        <v>-202133.67449999999</v>
      </c>
      <c r="F9" s="4">
        <f t="shared" si="1"/>
        <v>606371.32550000004</v>
      </c>
      <c r="H9" s="101">
        <v>23752</v>
      </c>
      <c r="I9" s="20">
        <v>50505</v>
      </c>
      <c r="J9" s="102">
        <f t="shared" si="2"/>
        <v>74257</v>
      </c>
      <c r="K9" s="20"/>
      <c r="L9" s="4">
        <v>21164</v>
      </c>
      <c r="M9" s="6">
        <f t="shared" si="3"/>
        <v>701792.32550000004</v>
      </c>
      <c r="N9" s="6"/>
      <c r="O9" s="6">
        <v>80</v>
      </c>
      <c r="P9" s="6">
        <v>162</v>
      </c>
      <c r="Q9" s="7">
        <f t="shared" si="4"/>
        <v>0.33057851239669422</v>
      </c>
      <c r="R9" s="7">
        <f t="shared" si="5"/>
        <v>0.66942148760330578</v>
      </c>
      <c r="S9" s="6"/>
      <c r="T9" s="68">
        <f>+Q9*'Low Income Pop'!O9</f>
        <v>0.1952096434662641</v>
      </c>
      <c r="U9" s="68">
        <f>+Q9*'Low Income Pop'!P9</f>
        <v>0.13536886893043013</v>
      </c>
      <c r="V9" s="68">
        <f>+R9*'Low Income Pop'!S9</f>
        <v>0.37235031615089637</v>
      </c>
      <c r="W9" s="68">
        <f>+R9*'Low Income Pop'!T9</f>
        <v>0.29707117145240941</v>
      </c>
      <c r="X9" s="110"/>
      <c r="Y9" s="16">
        <v>0.40799999999999997</v>
      </c>
      <c r="Z9" s="4">
        <f t="shared" si="6"/>
        <v>43960.144000000008</v>
      </c>
      <c r="AA9" s="6">
        <f>24726+21584+14517</f>
        <v>60827</v>
      </c>
      <c r="AB9" s="6">
        <f>13540+10142+1</f>
        <v>23683</v>
      </c>
      <c r="AC9" s="6">
        <f t="shared" si="7"/>
        <v>84510</v>
      </c>
      <c r="AD9" s="6"/>
      <c r="AE9" s="7">
        <f t="shared" si="8"/>
        <v>0.71976097503254055</v>
      </c>
      <c r="AF9" s="7">
        <f t="shared" si="9"/>
        <v>0.28023902496745945</v>
      </c>
      <c r="AH9" s="4">
        <f>+($F9*T9)+($Z9*AE9)+($L9*'Low Income Pop'!G9)</f>
        <v>154511.54860665189</v>
      </c>
      <c r="AI9" s="4">
        <f>+($F9*U9)+($Z9*AF9)+($L9*'Low Income Pop'!H9)</f>
        <v>97524.538040529733</v>
      </c>
      <c r="AJ9" s="4">
        <f>+($F9*V9)+($L9*'Low Income Pop'!I9)</f>
        <v>233314.64064126578</v>
      </c>
      <c r="AK9" s="4">
        <f>+($F9*W9)+($L9*'Low Income Pop'!J9)</f>
        <v>186144.74221155269</v>
      </c>
    </row>
    <row r="10" spans="1:37" x14ac:dyDescent="0.2">
      <c r="A10" s="17" t="s">
        <v>114</v>
      </c>
      <c r="B10" s="4">
        <v>696671</v>
      </c>
      <c r="C10" s="4">
        <v>403466</v>
      </c>
      <c r="D10" s="29">
        <v>143.88999999999999</v>
      </c>
      <c r="E10" s="4">
        <f t="shared" si="0"/>
        <v>-174164.16821999996</v>
      </c>
      <c r="F10" s="4">
        <f t="shared" si="1"/>
        <v>522506.83178000001</v>
      </c>
      <c r="H10" s="101">
        <v>13085</v>
      </c>
      <c r="I10" s="20">
        <v>35435</v>
      </c>
      <c r="J10" s="102">
        <f t="shared" si="2"/>
        <v>48520</v>
      </c>
      <c r="K10" s="20"/>
      <c r="L10" s="4">
        <v>13871</v>
      </c>
      <c r="M10" s="6">
        <f t="shared" si="3"/>
        <v>584897.83178000001</v>
      </c>
      <c r="N10" s="6"/>
      <c r="O10" s="6">
        <v>55</v>
      </c>
      <c r="P10" s="6">
        <v>96</v>
      </c>
      <c r="Q10" s="7">
        <f t="shared" si="4"/>
        <v>0.36423841059602646</v>
      </c>
      <c r="R10" s="7">
        <f t="shared" si="5"/>
        <v>0.63576158940397354</v>
      </c>
      <c r="S10" s="6"/>
      <c r="T10" s="68">
        <f>+Q10*'Low Income Pop'!O10</f>
        <v>0.21313452318811921</v>
      </c>
      <c r="U10" s="68">
        <f>+Q10*'Low Income Pop'!P10</f>
        <v>0.15110388740790726</v>
      </c>
      <c r="V10" s="68">
        <f>+R10*'Low Income Pop'!S10</f>
        <v>0.32987668838334094</v>
      </c>
      <c r="W10" s="68">
        <f>+R10*'Low Income Pop'!T10</f>
        <v>0.30588490102063265</v>
      </c>
      <c r="X10" s="110"/>
      <c r="Y10" s="16">
        <v>0.50800000000000001</v>
      </c>
      <c r="Z10" s="4">
        <f t="shared" si="6"/>
        <v>23871.84</v>
      </c>
      <c r="AA10" s="6">
        <f>15913+11686+8764</f>
        <v>36363</v>
      </c>
      <c r="AB10" s="6">
        <f>7783+5783+2</f>
        <v>13568</v>
      </c>
      <c r="AC10" s="6">
        <f t="shared" si="7"/>
        <v>49931</v>
      </c>
      <c r="AD10" s="6"/>
      <c r="AE10" s="7">
        <f t="shared" si="8"/>
        <v>0.72826500570787689</v>
      </c>
      <c r="AF10" s="7">
        <f t="shared" si="9"/>
        <v>0.27173499429212311</v>
      </c>
      <c r="AH10" s="4">
        <f>+($F10*T10)+($Z10*AE10)+($L10*'Low Income Pop'!G10)</f>
        <v>131537.53394955746</v>
      </c>
      <c r="AI10" s="4">
        <f>+($F10*U10)+($Z10*AF10)+($L10*'Low Income Pop'!H10)</f>
        <v>87416.395759143779</v>
      </c>
      <c r="AJ10" s="4">
        <f>+($F10*V10)+($L10*'Low Income Pop'!I10)</f>
        <v>177087.62377318807</v>
      </c>
      <c r="AK10" s="4">
        <f>+($F10*W10)+($L10*'Low Income Pop'!J10)</f>
        <v>164208.11829811073</v>
      </c>
    </row>
    <row r="11" spans="1:37" x14ac:dyDescent="0.2">
      <c r="A11" s="17" t="s">
        <v>42</v>
      </c>
      <c r="B11" s="4">
        <v>226577</v>
      </c>
      <c r="C11" s="4">
        <v>148257</v>
      </c>
      <c r="D11" s="29">
        <v>127.36</v>
      </c>
      <c r="E11" s="4">
        <f t="shared" si="0"/>
        <v>-56646.034559999993</v>
      </c>
      <c r="F11" s="4">
        <f t="shared" si="1"/>
        <v>169930.96544</v>
      </c>
      <c r="H11" s="101">
        <v>4395</v>
      </c>
      <c r="I11" s="20">
        <v>10889</v>
      </c>
      <c r="J11" s="102">
        <f t="shared" si="2"/>
        <v>15284</v>
      </c>
      <c r="K11" s="20"/>
      <c r="L11" s="4">
        <v>13619</v>
      </c>
      <c r="M11" s="6">
        <f t="shared" si="3"/>
        <v>198833.96544</v>
      </c>
      <c r="N11" s="6"/>
      <c r="O11" s="6">
        <v>22</v>
      </c>
      <c r="P11" s="6">
        <v>47</v>
      </c>
      <c r="Q11" s="7">
        <f t="shared" si="4"/>
        <v>0.3188405797101449</v>
      </c>
      <c r="R11" s="7">
        <f t="shared" si="5"/>
        <v>0.6811594202898551</v>
      </c>
      <c r="S11" s="6"/>
      <c r="T11" s="68">
        <f>+Q11*'Low Income Pop'!O11</f>
        <v>0.19221986938263841</v>
      </c>
      <c r="U11" s="68">
        <f>+Q11*'Low Income Pop'!P11</f>
        <v>0.12662071032750649</v>
      </c>
      <c r="V11" s="68">
        <f>+R11*'Low Income Pop'!S11</f>
        <v>0.34547268459457386</v>
      </c>
      <c r="W11" s="68">
        <f>+R11*'Low Income Pop'!T11</f>
        <v>0.33568673569528124</v>
      </c>
      <c r="X11" s="110"/>
      <c r="Y11" s="16">
        <v>0.48699999999999999</v>
      </c>
      <c r="Z11" s="4">
        <f t="shared" si="6"/>
        <v>7840.692</v>
      </c>
      <c r="AA11" s="106"/>
      <c r="AB11" s="106"/>
      <c r="AC11" s="6">
        <f t="shared" si="7"/>
        <v>0</v>
      </c>
      <c r="AD11" s="6"/>
      <c r="AE11" s="107">
        <v>0.73</v>
      </c>
      <c r="AF11" s="107">
        <v>0.27</v>
      </c>
      <c r="AH11" s="4">
        <f>+($F11*T11)+($Z11*AE11)+($L11*'Low Income Pop'!G11)</f>
        <v>41567.48597691422</v>
      </c>
      <c r="AI11" s="4">
        <f>+($F11*U11)+($Z11*AF11)+($L11*'Low Income Pop'!H11)</f>
        <v>25728.307576185354</v>
      </c>
      <c r="AJ11" s="4">
        <f>+($F11*V11)+($L11*'Low Income Pop'!I11)</f>
        <v>62938.842940999893</v>
      </c>
      <c r="AK11" s="4">
        <f>+($F11*W11)+($L11*'Low Income Pop'!J11)</f>
        <v>61156.020945900527</v>
      </c>
    </row>
    <row r="12" spans="1:37" x14ac:dyDescent="0.2">
      <c r="A12" s="17" t="s">
        <v>116</v>
      </c>
      <c r="B12" s="4">
        <v>5592221</v>
      </c>
      <c r="C12" s="4">
        <v>3353064</v>
      </c>
      <c r="D12" s="29">
        <v>138.97999999999999</v>
      </c>
      <c r="E12" s="4">
        <f t="shared" si="0"/>
        <v>-1398026.50416</v>
      </c>
      <c r="F12" s="4">
        <f t="shared" si="1"/>
        <v>4194194.49584</v>
      </c>
      <c r="H12" s="101">
        <v>95589</v>
      </c>
      <c r="I12" s="20">
        <v>265204</v>
      </c>
      <c r="J12" s="102">
        <f t="shared" si="2"/>
        <v>360793</v>
      </c>
      <c r="K12" s="20"/>
      <c r="L12" s="4">
        <v>169537</v>
      </c>
      <c r="M12" s="6">
        <f t="shared" si="3"/>
        <v>4724524.49584</v>
      </c>
      <c r="N12" s="6"/>
      <c r="O12" s="6">
        <v>365</v>
      </c>
      <c r="P12" s="6">
        <v>899</v>
      </c>
      <c r="Q12" s="7">
        <f t="shared" si="4"/>
        <v>0.28876582278481011</v>
      </c>
      <c r="R12" s="7">
        <f t="shared" si="5"/>
        <v>0.71123417721518989</v>
      </c>
      <c r="S12" s="6"/>
      <c r="T12" s="68">
        <f>+Q12*'Low Income Pop'!O12</f>
        <v>0.17182739211524306</v>
      </c>
      <c r="U12" s="68">
        <f>+Q12*'Low Income Pop'!P12</f>
        <v>0.11693843066956706</v>
      </c>
      <c r="V12" s="68">
        <f>+R12*'Low Income Pop'!S12</f>
        <v>0.3776570030695362</v>
      </c>
      <c r="W12" s="68">
        <f>+R12*'Low Income Pop'!T12</f>
        <v>0.33357717414565369</v>
      </c>
      <c r="X12" s="110"/>
      <c r="Y12" s="16">
        <v>0.42199999999999999</v>
      </c>
      <c r="Z12" s="4">
        <f t="shared" si="6"/>
        <v>208538.35400000002</v>
      </c>
      <c r="AA12" s="6">
        <f>136585+96814+68562</f>
        <v>301961</v>
      </c>
      <c r="AB12" s="6">
        <f>62062+43081</f>
        <v>105143</v>
      </c>
      <c r="AC12" s="6">
        <f t="shared" si="7"/>
        <v>407104</v>
      </c>
      <c r="AD12" s="6"/>
      <c r="AE12" s="7">
        <f t="shared" si="8"/>
        <v>0.74172938610281403</v>
      </c>
      <c r="AF12" s="7">
        <f t="shared" si="9"/>
        <v>0.25827061389718597</v>
      </c>
      <c r="AH12" s="4">
        <f>+($F12*T12)+($Z12*AE12)+($L12*'Low Income Pop'!G12)</f>
        <v>911929.48277055379</v>
      </c>
      <c r="AI12" s="4">
        <f>+($F12*U12)+($Z12*AF12)+($L12*'Low Income Pop'!H12)</f>
        <v>569211.85214129451</v>
      </c>
      <c r="AJ12" s="4">
        <f>+($F12*V12)+($L12*'Low Income Pop'!I12)</f>
        <v>1641352.9726895413</v>
      </c>
      <c r="AK12" s="4">
        <f>+($F12*W12)+($L12*'Low Income Pop'!J12)</f>
        <v>1449775.5422386106</v>
      </c>
    </row>
    <row r="13" spans="1:37" x14ac:dyDescent="0.2">
      <c r="A13" s="17" t="s">
        <v>117</v>
      </c>
      <c r="B13" s="4">
        <v>3119436</v>
      </c>
      <c r="C13" s="4">
        <v>1912839</v>
      </c>
      <c r="D13" s="29">
        <v>135.9</v>
      </c>
      <c r="E13" s="4">
        <f t="shared" si="0"/>
        <v>-779864.46030000015</v>
      </c>
      <c r="F13" s="4">
        <f t="shared" si="1"/>
        <v>2339571.5396999996</v>
      </c>
      <c r="H13" s="101">
        <v>70077</v>
      </c>
      <c r="I13" s="20">
        <v>204439</v>
      </c>
      <c r="J13" s="102">
        <f t="shared" si="2"/>
        <v>274516</v>
      </c>
      <c r="K13" s="20"/>
      <c r="L13" s="4">
        <v>96437</v>
      </c>
      <c r="M13" s="6">
        <f t="shared" si="3"/>
        <v>2710524.5396999996</v>
      </c>
      <c r="N13" s="6"/>
      <c r="O13" s="6">
        <v>302</v>
      </c>
      <c r="P13" s="6">
        <v>554</v>
      </c>
      <c r="Q13" s="7">
        <f t="shared" si="4"/>
        <v>0.35280373831775702</v>
      </c>
      <c r="R13" s="7">
        <f t="shared" si="5"/>
        <v>0.64719626168224298</v>
      </c>
      <c r="S13" s="6"/>
      <c r="T13" s="68">
        <f>+Q13*'Low Income Pop'!O13</f>
        <v>0.20862412836254052</v>
      </c>
      <c r="U13" s="68">
        <f>+Q13*'Low Income Pop'!P13</f>
        <v>0.14417960995521653</v>
      </c>
      <c r="V13" s="68">
        <f>+R13*'Low Income Pop'!S13</f>
        <v>0.37614773148241404</v>
      </c>
      <c r="W13" s="68">
        <f>+R13*'Low Income Pop'!T13</f>
        <v>0.27104853019982894</v>
      </c>
      <c r="X13" s="110"/>
      <c r="Y13" s="16">
        <v>0.47199999999999998</v>
      </c>
      <c r="Z13" s="4">
        <f t="shared" si="6"/>
        <v>144944.448</v>
      </c>
      <c r="AA13" s="6">
        <f>79078+68222+42658</f>
        <v>189958</v>
      </c>
      <c r="AB13" s="6">
        <f>38973+27282+84</f>
        <v>66339</v>
      </c>
      <c r="AC13" s="6">
        <f t="shared" si="7"/>
        <v>256297</v>
      </c>
      <c r="AD13" s="6"/>
      <c r="AE13" s="7">
        <f t="shared" si="8"/>
        <v>0.74116357194973015</v>
      </c>
      <c r="AF13" s="7">
        <f t="shared" si="9"/>
        <v>0.2588364280502698</v>
      </c>
      <c r="AH13" s="4">
        <f>+($F13*T13)+($Z13*AE13)+($L13*'Low Income Pop'!G13)</f>
        <v>617405.74610590248</v>
      </c>
      <c r="AI13" s="4">
        <f>+($F13*U13)+($Z13*AF13)+($L13*'Low Income Pop'!H13)</f>
        <v>389961.55436348682</v>
      </c>
      <c r="AJ13" s="4">
        <f>+($F13*V13)+($L13*'Low Income Pop'!I13)</f>
        <v>914561.34960742074</v>
      </c>
      <c r="AK13" s="4">
        <f>+($F13*W13)+($L13*'Low Income Pop'!J13)</f>
        <v>659024.33762318955</v>
      </c>
    </row>
    <row r="14" spans="1:37" x14ac:dyDescent="0.2">
      <c r="A14" s="17" t="s">
        <v>118</v>
      </c>
      <c r="B14" s="4">
        <v>453331</v>
      </c>
      <c r="C14" s="4">
        <v>176823</v>
      </c>
      <c r="D14" s="29">
        <v>213.65</v>
      </c>
      <c r="E14" s="4">
        <f t="shared" si="0"/>
        <v>-113334.70185</v>
      </c>
      <c r="F14" s="4">
        <f t="shared" si="1"/>
        <v>339996.29814999999</v>
      </c>
      <c r="H14" s="101">
        <v>10735</v>
      </c>
      <c r="I14" s="20">
        <v>23953</v>
      </c>
      <c r="J14" s="102">
        <f t="shared" si="2"/>
        <v>34688</v>
      </c>
      <c r="K14" s="20"/>
      <c r="L14" s="4">
        <v>6041</v>
      </c>
      <c r="M14" s="6">
        <f t="shared" si="3"/>
        <v>380725.29814999999</v>
      </c>
      <c r="N14" s="6"/>
      <c r="O14" s="6">
        <v>23</v>
      </c>
      <c r="P14" s="6">
        <v>48</v>
      </c>
      <c r="Q14" s="7">
        <f t="shared" si="4"/>
        <v>0.323943661971831</v>
      </c>
      <c r="R14" s="7">
        <f t="shared" si="5"/>
        <v>0.676056338028169</v>
      </c>
      <c r="S14" s="6"/>
      <c r="T14" s="68">
        <f>+Q14*'Low Income Pop'!O14</f>
        <v>0.19634149443430599</v>
      </c>
      <c r="U14" s="68">
        <f>+Q14*'Low Income Pop'!P14</f>
        <v>0.12760216753752501</v>
      </c>
      <c r="V14" s="68">
        <f>+R14*'Low Income Pop'!S14</f>
        <v>0.28650149592988755</v>
      </c>
      <c r="W14" s="68">
        <f>+R14*'Low Income Pop'!T14</f>
        <v>0.3895548420982814</v>
      </c>
      <c r="X14" s="110"/>
      <c r="Y14" s="16">
        <v>0.38100000000000001</v>
      </c>
      <c r="Z14" s="4">
        <f t="shared" si="6"/>
        <v>21471.871999999999</v>
      </c>
      <c r="AA14" s="6">
        <f>9680+6778+5767</f>
        <v>22225</v>
      </c>
      <c r="AB14" s="6">
        <f>5097+4839</f>
        <v>9936</v>
      </c>
      <c r="AC14" s="6">
        <f t="shared" si="7"/>
        <v>32161</v>
      </c>
      <c r="AD14" s="6"/>
      <c r="AE14" s="7">
        <f t="shared" si="8"/>
        <v>0.69105438263735586</v>
      </c>
      <c r="AF14" s="7">
        <f t="shared" si="9"/>
        <v>0.3089456173626442</v>
      </c>
      <c r="AH14" s="4">
        <f>+($F14*T14)+($Z14*AE14)+($L14*'Low Income Pop'!G14)</f>
        <v>83240.1602655428</v>
      </c>
      <c r="AI14" s="4">
        <f>+($F14*U14)+($Z14*AF14)+($L14*'Low Income Pop'!H14)</f>
        <v>51087.995299931055</v>
      </c>
      <c r="AJ14" s="4">
        <f>+($F14*V14)+($L14*'Low Income Pop'!I14)</f>
        <v>98818.257803437751</v>
      </c>
      <c r="AK14" s="4">
        <f>+($F14*W14)+($L14*'Low Income Pop'!J14)</f>
        <v>134362.75678108836</v>
      </c>
    </row>
    <row r="15" spans="1:37" x14ac:dyDescent="0.2">
      <c r="A15" s="17" t="s">
        <v>119</v>
      </c>
      <c r="B15" s="4">
        <v>361230</v>
      </c>
      <c r="C15" s="4">
        <v>233034</v>
      </c>
      <c r="D15" s="29">
        <v>129.18</v>
      </c>
      <c r="E15" s="4">
        <f t="shared" si="0"/>
        <v>-90309.996360000005</v>
      </c>
      <c r="F15" s="4">
        <f t="shared" si="1"/>
        <v>270920.00364000001</v>
      </c>
      <c r="H15" s="101">
        <v>8916</v>
      </c>
      <c r="I15" s="20">
        <v>19342</v>
      </c>
      <c r="J15" s="102">
        <f t="shared" si="2"/>
        <v>28258</v>
      </c>
      <c r="K15" s="20"/>
      <c r="L15" s="4">
        <v>5951</v>
      </c>
      <c r="M15" s="6">
        <f t="shared" si="3"/>
        <v>305129.00364000001</v>
      </c>
      <c r="N15" s="6"/>
      <c r="O15" s="6">
        <v>37</v>
      </c>
      <c r="P15" s="6">
        <v>74</v>
      </c>
      <c r="Q15" s="7">
        <f t="shared" si="4"/>
        <v>0.33333333333333331</v>
      </c>
      <c r="R15" s="7">
        <f t="shared" si="5"/>
        <v>0.66666666666666663</v>
      </c>
      <c r="S15" s="6"/>
      <c r="T15" s="68">
        <f>+Q15*'Low Income Pop'!O15</f>
        <v>0.19844326751223409</v>
      </c>
      <c r="U15" s="68">
        <f>+Q15*'Low Income Pop'!P15</f>
        <v>0.13489006582109925</v>
      </c>
      <c r="V15" s="68">
        <f>+R15*'Low Income Pop'!S15</f>
        <v>0.35120399818264425</v>
      </c>
      <c r="W15" s="68">
        <f>+R15*'Low Income Pop'!T15</f>
        <v>0.31546266848402238</v>
      </c>
      <c r="X15" s="110"/>
      <c r="Y15" s="16">
        <v>0.42299999999999999</v>
      </c>
      <c r="Z15" s="4">
        <f t="shared" si="6"/>
        <v>16304.865999999998</v>
      </c>
      <c r="AA15" s="6">
        <f>10945+8255+6582</f>
        <v>25782</v>
      </c>
      <c r="AB15" s="6">
        <f>6189+4525</f>
        <v>10714</v>
      </c>
      <c r="AC15" s="6">
        <f t="shared" si="7"/>
        <v>36496</v>
      </c>
      <c r="AD15" s="6"/>
      <c r="AE15" s="7">
        <f t="shared" si="8"/>
        <v>0.70643358176238491</v>
      </c>
      <c r="AF15" s="7">
        <f t="shared" si="9"/>
        <v>0.29356641823761509</v>
      </c>
      <c r="AH15" s="4">
        <f>+($F15*T15)+($Z15*AE15)+($L15*'Low Income Pop'!G15)</f>
        <v>66660.634233912526</v>
      </c>
      <c r="AI15" s="4">
        <f>+($F15*U15)+($Z15*AF15)+($L15*'Low Income Pop'!H15)</f>
        <v>42269.074517811219</v>
      </c>
      <c r="AJ15" s="4">
        <f>+($F15*V15)+($L15*'Low Income Pop'!I15)</f>
        <v>97061.982530648034</v>
      </c>
      <c r="AK15" s="4">
        <f>+($F15*W15)+($L15*'Low Income Pop'!J15)</f>
        <v>87184.178357628218</v>
      </c>
    </row>
    <row r="16" spans="1:37" x14ac:dyDescent="0.2">
      <c r="A16" s="17" t="s">
        <v>120</v>
      </c>
      <c r="B16" s="4">
        <v>3128689</v>
      </c>
      <c r="C16" s="4">
        <v>1869713</v>
      </c>
      <c r="D16" s="29">
        <v>139.44999999999999</v>
      </c>
      <c r="E16" s="4">
        <f t="shared" si="0"/>
        <v>-782194.43354999996</v>
      </c>
      <c r="F16" s="4">
        <f t="shared" si="1"/>
        <v>2346494.5664499998</v>
      </c>
      <c r="H16" s="101">
        <v>53311</v>
      </c>
      <c r="I16" s="20">
        <v>165390</v>
      </c>
      <c r="J16" s="102">
        <f t="shared" si="2"/>
        <v>218701</v>
      </c>
      <c r="K16" s="20"/>
      <c r="L16" s="4">
        <v>119729</v>
      </c>
      <c r="M16" s="6">
        <f t="shared" si="3"/>
        <v>2684924.5664499998</v>
      </c>
      <c r="N16" s="6"/>
      <c r="O16" s="6">
        <v>257</v>
      </c>
      <c r="P16" s="6">
        <v>573</v>
      </c>
      <c r="Q16" s="7">
        <f t="shared" si="4"/>
        <v>0.30963855421686748</v>
      </c>
      <c r="R16" s="7">
        <f t="shared" si="5"/>
        <v>0.69036144578313252</v>
      </c>
      <c r="S16" s="6"/>
      <c r="T16" s="68">
        <f>+Q16*'Low Income Pop'!O16</f>
        <v>0.18449083183537432</v>
      </c>
      <c r="U16" s="68">
        <f>+Q16*'Low Income Pop'!P16</f>
        <v>0.12514772238149316</v>
      </c>
      <c r="V16" s="68">
        <f>+R16*'Low Income Pop'!S16</f>
        <v>0.36217140778580703</v>
      </c>
      <c r="W16" s="68">
        <f>+R16*'Low Income Pop'!T16</f>
        <v>0.32819003799732555</v>
      </c>
      <c r="X16" s="110"/>
      <c r="Y16" s="16">
        <v>0.45</v>
      </c>
      <c r="Z16" s="4">
        <f t="shared" si="6"/>
        <v>120285.55</v>
      </c>
      <c r="AA16" s="6">
        <f>81572+56324+42735</f>
        <v>180631</v>
      </c>
      <c r="AB16" s="6">
        <f>37668+28335</f>
        <v>66003</v>
      </c>
      <c r="AC16" s="6">
        <f t="shared" si="7"/>
        <v>246634</v>
      </c>
      <c r="AD16" s="6"/>
      <c r="AE16" s="7">
        <f t="shared" si="8"/>
        <v>0.73238482934226423</v>
      </c>
      <c r="AF16" s="7">
        <f t="shared" si="9"/>
        <v>0.26761517065773577</v>
      </c>
      <c r="AH16" s="4">
        <f>+($F16*T16)+($Z16*AE16)+($L16*'Low Income Pop'!G16)</f>
        <v>546669.91540063964</v>
      </c>
      <c r="AI16" s="4">
        <f>+($F16*U16)+($Z16*AF16)+($L16*'Low Income Pop'!H16)</f>
        <v>343260.26020024659</v>
      </c>
      <c r="AJ16" s="4">
        <f>+($F16*V16)+($L16*'Low Income Pop'!I16)</f>
        <v>890044.46465004154</v>
      </c>
      <c r="AK16" s="4">
        <f>+($F16*W16)+($L16*'Low Income Pop'!J16)</f>
        <v>806534.47619907209</v>
      </c>
    </row>
    <row r="17" spans="1:37" x14ac:dyDescent="0.2">
      <c r="A17" s="17" t="s">
        <v>121</v>
      </c>
      <c r="B17" s="4">
        <v>1444410</v>
      </c>
      <c r="C17" s="4">
        <v>908705</v>
      </c>
      <c r="D17" s="29">
        <v>132.46</v>
      </c>
      <c r="E17" s="4">
        <f t="shared" si="0"/>
        <v>-361101.19290000002</v>
      </c>
      <c r="F17" s="4">
        <f t="shared" si="1"/>
        <v>1083308.8070999999</v>
      </c>
      <c r="H17" s="101">
        <v>32055</v>
      </c>
      <c r="I17" s="20">
        <v>74618</v>
      </c>
      <c r="J17" s="102">
        <f t="shared" si="2"/>
        <v>106673</v>
      </c>
      <c r="K17" s="20"/>
      <c r="L17" s="4">
        <v>44822</v>
      </c>
      <c r="M17" s="6">
        <f t="shared" si="3"/>
        <v>1234803.8070999999</v>
      </c>
      <c r="N17" s="6"/>
      <c r="O17" s="6">
        <v>145</v>
      </c>
      <c r="P17" s="6">
        <v>270</v>
      </c>
      <c r="Q17" s="7">
        <f t="shared" si="4"/>
        <v>0.3493975903614458</v>
      </c>
      <c r="R17" s="7">
        <f t="shared" si="5"/>
        <v>0.6506024096385542</v>
      </c>
      <c r="S17" s="6"/>
      <c r="T17" s="68">
        <f>+Q17*'Low Income Pop'!O17</f>
        <v>0.20753742084244506</v>
      </c>
      <c r="U17" s="68">
        <f>+Q17*'Low Income Pop'!P17</f>
        <v>0.14186016951900074</v>
      </c>
      <c r="V17" s="68">
        <f>+R17*'Low Income Pop'!S17</f>
        <v>0.36087413367886367</v>
      </c>
      <c r="W17" s="68">
        <f>+R17*'Low Income Pop'!T17</f>
        <v>0.28972827595969053</v>
      </c>
      <c r="X17" s="110"/>
      <c r="Y17" s="16">
        <v>0.41399999999999998</v>
      </c>
      <c r="Z17" s="4">
        <f t="shared" si="6"/>
        <v>62510.378000000012</v>
      </c>
      <c r="AA17" s="6">
        <f>46319+30953+24292</f>
        <v>101564</v>
      </c>
      <c r="AB17" s="6">
        <f>21462+15692</f>
        <v>37154</v>
      </c>
      <c r="AC17" s="6">
        <f t="shared" si="7"/>
        <v>138718</v>
      </c>
      <c r="AD17" s="6"/>
      <c r="AE17" s="7">
        <f t="shared" si="8"/>
        <v>0.73216165169624703</v>
      </c>
      <c r="AF17" s="7">
        <f t="shared" si="9"/>
        <v>0.26783834830375292</v>
      </c>
      <c r="AH17" s="4">
        <f>+($F17*T17)+($Z17*AE17)+($L17*'Low Income Pop'!G17)</f>
        <v>281036.05941403011</v>
      </c>
      <c r="AI17" s="4">
        <f>+($F17*U17)+($Z17*AF17)+($L17*'Low Income Pop'!H17)</f>
        <v>177558.05603060854</v>
      </c>
      <c r="AJ17" s="4">
        <f>+($F17*V17)+($L17*'Low Income Pop'!I17)</f>
        <v>406049.60596563754</v>
      </c>
      <c r="AK17" s="4">
        <f>+($F17*W17)+($L17*'Low Income Pop'!J17)</f>
        <v>325997.46368972363</v>
      </c>
    </row>
    <row r="18" spans="1:37" x14ac:dyDescent="0.2">
      <c r="A18" s="17" t="s">
        <v>122</v>
      </c>
      <c r="B18" s="4">
        <v>593444</v>
      </c>
      <c r="C18" s="4">
        <v>408050</v>
      </c>
      <c r="D18" s="29">
        <v>121.2</v>
      </c>
      <c r="E18" s="4">
        <f t="shared" si="0"/>
        <v>-148366.98000000001</v>
      </c>
      <c r="F18" s="4">
        <f t="shared" si="1"/>
        <v>445077.02</v>
      </c>
      <c r="H18" s="101">
        <v>15019</v>
      </c>
      <c r="I18" s="20">
        <v>30538</v>
      </c>
      <c r="J18" s="102">
        <f t="shared" si="2"/>
        <v>45557</v>
      </c>
      <c r="K18" s="20"/>
      <c r="L18" s="4">
        <v>24973</v>
      </c>
      <c r="M18" s="6">
        <f t="shared" si="3"/>
        <v>515607.02</v>
      </c>
      <c r="N18" s="6"/>
      <c r="O18" s="6">
        <v>60</v>
      </c>
      <c r="P18" s="6">
        <v>113</v>
      </c>
      <c r="Q18" s="7">
        <f t="shared" si="4"/>
        <v>0.34682080924855491</v>
      </c>
      <c r="R18" s="7">
        <f t="shared" si="5"/>
        <v>0.65317919075144504</v>
      </c>
      <c r="S18" s="6"/>
      <c r="T18" s="68">
        <f>+Q18*'Low Income Pop'!O18</f>
        <v>0.204030941631408</v>
      </c>
      <c r="U18" s="68">
        <f>+Q18*'Low Income Pop'!P18</f>
        <v>0.1427898676171469</v>
      </c>
      <c r="V18" s="68">
        <f>+R18*'Low Income Pop'!S18</f>
        <v>0.37256594216555183</v>
      </c>
      <c r="W18" s="68">
        <f>+R18*'Low Income Pop'!T18</f>
        <v>0.28061324858589326</v>
      </c>
      <c r="X18" s="110"/>
      <c r="Y18" s="16">
        <v>0.41499999999999998</v>
      </c>
      <c r="Z18" s="4">
        <f t="shared" si="6"/>
        <v>26650.844999999998</v>
      </c>
      <c r="AA18" s="6">
        <f>18035+14502+10212</f>
        <v>42749</v>
      </c>
      <c r="AB18" s="6">
        <f>9604+7103+13</f>
        <v>16720</v>
      </c>
      <c r="AC18" s="6">
        <f t="shared" si="7"/>
        <v>59469</v>
      </c>
      <c r="AD18" s="6"/>
      <c r="AE18" s="7">
        <f t="shared" si="8"/>
        <v>0.71884511257966333</v>
      </c>
      <c r="AF18" s="7">
        <f t="shared" si="9"/>
        <v>0.28115488742033662</v>
      </c>
      <c r="AH18" s="4">
        <f>+($F18*T18)+($Z18*AE18)+($L18*'Low Income Pop'!G18)</f>
        <v>115892.63458323377</v>
      </c>
      <c r="AI18" s="4">
        <f>+($F18*U18)+($Z18*AF18)+($L18*'Low Income Pop'!H18)</f>
        <v>75192.305817859582</v>
      </c>
      <c r="AJ18" s="4">
        <f>+($F18*V18)+($L18*'Low Income Pop'!I18)</f>
        <v>174319.82907783103</v>
      </c>
      <c r="AK18" s="4">
        <f>+($F18*W18)+($L18*'Low Income Pop'!J18)</f>
        <v>131296.09552107562</v>
      </c>
    </row>
    <row r="19" spans="1:37" x14ac:dyDescent="0.2">
      <c r="A19" s="17" t="s">
        <v>123</v>
      </c>
      <c r="B19" s="4">
        <v>457479</v>
      </c>
      <c r="C19" s="4">
        <v>304719</v>
      </c>
      <c r="D19" s="29">
        <v>125.11</v>
      </c>
      <c r="E19" s="4">
        <f t="shared" si="0"/>
        <v>-114370.18227</v>
      </c>
      <c r="F19" s="4">
        <f t="shared" si="1"/>
        <v>343108.81773000001</v>
      </c>
      <c r="H19" s="101">
        <v>14771</v>
      </c>
      <c r="I19" s="20">
        <v>35911</v>
      </c>
      <c r="J19" s="102">
        <f t="shared" si="2"/>
        <v>50682</v>
      </c>
      <c r="K19" s="20"/>
      <c r="L19" s="4">
        <v>29119</v>
      </c>
      <c r="M19" s="6">
        <f t="shared" si="3"/>
        <v>422909.81773000001</v>
      </c>
      <c r="N19" s="6"/>
      <c r="O19" s="6">
        <v>46</v>
      </c>
      <c r="P19" s="6">
        <v>85</v>
      </c>
      <c r="Q19" s="7">
        <f t="shared" si="4"/>
        <v>0.35114503816793891</v>
      </c>
      <c r="R19" s="7">
        <f t="shared" si="5"/>
        <v>0.64885496183206104</v>
      </c>
      <c r="S19" s="6"/>
      <c r="T19" s="68">
        <f>+Q19*'Low Income Pop'!O19</f>
        <v>0.20981083166776054</v>
      </c>
      <c r="U19" s="68">
        <f>+Q19*'Low Income Pop'!P19</f>
        <v>0.14133420650017836</v>
      </c>
      <c r="V19" s="68">
        <f>+R19*'Low Income Pop'!S19</f>
        <v>0.35523289478844422</v>
      </c>
      <c r="W19" s="68">
        <f>+R19*'Low Income Pop'!T19</f>
        <v>0.29362206704361687</v>
      </c>
      <c r="X19" s="110"/>
      <c r="Y19" s="16">
        <v>0.41599999999999998</v>
      </c>
      <c r="Z19" s="4">
        <f t="shared" si="6"/>
        <v>29598.288000000004</v>
      </c>
      <c r="AA19" s="6">
        <f>19605+16109+11703</f>
        <v>47417</v>
      </c>
      <c r="AB19" s="6">
        <f>10697+7667+1</f>
        <v>18365</v>
      </c>
      <c r="AC19" s="6">
        <f t="shared" si="7"/>
        <v>65782</v>
      </c>
      <c r="AD19" s="6"/>
      <c r="AE19" s="7">
        <f t="shared" si="8"/>
        <v>0.720820285184397</v>
      </c>
      <c r="AF19" s="7">
        <f t="shared" si="9"/>
        <v>0.27917971481560305</v>
      </c>
      <c r="AH19" s="4">
        <f>+($F19*T19)+($Z19*AE19)+($L19*'Low Income Pop'!G19)</f>
        <v>100060.64581602041</v>
      </c>
      <c r="AI19" s="4">
        <f>+($F19*U19)+($Z19*AF19)+($L19*'Low Income Pop'!H19)</f>
        <v>61294.91797856363</v>
      </c>
      <c r="AJ19" s="4">
        <f>+($F19*V19)+($L19*'Low Income Pop'!I19)</f>
        <v>131651.98965554536</v>
      </c>
      <c r="AK19" s="4">
        <f>+($F19*W19)+($L19*'Low Income Pop'!J19)</f>
        <v>108818.55227987062</v>
      </c>
    </row>
    <row r="20" spans="1:37" x14ac:dyDescent="0.2">
      <c r="A20" s="17" t="s">
        <v>124</v>
      </c>
      <c r="B20" s="4">
        <v>1298611</v>
      </c>
      <c r="C20" s="4">
        <v>849248</v>
      </c>
      <c r="D20" s="29">
        <v>127.43</v>
      </c>
      <c r="E20" s="4">
        <f t="shared" si="0"/>
        <v>-324659.01792000001</v>
      </c>
      <c r="F20" s="4">
        <f t="shared" si="1"/>
        <v>973951.98207999999</v>
      </c>
      <c r="H20" s="101">
        <v>30015</v>
      </c>
      <c r="I20" s="20">
        <v>61409</v>
      </c>
      <c r="J20" s="102">
        <f t="shared" si="2"/>
        <v>91424</v>
      </c>
      <c r="K20" s="20"/>
      <c r="L20" s="4">
        <v>32110</v>
      </c>
      <c r="M20" s="6">
        <f t="shared" si="3"/>
        <v>1097485.98208</v>
      </c>
      <c r="N20" s="6"/>
      <c r="O20" s="6">
        <v>108</v>
      </c>
      <c r="P20" s="6">
        <v>209</v>
      </c>
      <c r="Q20" s="7">
        <f t="shared" si="4"/>
        <v>0.34069400630914826</v>
      </c>
      <c r="R20" s="7">
        <f t="shared" si="5"/>
        <v>0.65930599369085174</v>
      </c>
      <c r="S20" s="6"/>
      <c r="T20" s="68">
        <f>+Q20*'Low Income Pop'!O20</f>
        <v>0.20361322225130637</v>
      </c>
      <c r="U20" s="68">
        <f>+Q20*'Low Income Pop'!P20</f>
        <v>0.13708078405784188</v>
      </c>
      <c r="V20" s="68">
        <f>+R20*'Low Income Pop'!S20</f>
        <v>0.3440327983532932</v>
      </c>
      <c r="W20" s="68">
        <f>+R20*'Low Income Pop'!T20</f>
        <v>0.31527319533755854</v>
      </c>
      <c r="X20" s="110"/>
      <c r="Y20" s="16">
        <v>0.53100000000000003</v>
      </c>
      <c r="Z20" s="4">
        <f t="shared" si="6"/>
        <v>42877.856</v>
      </c>
      <c r="AA20" s="106"/>
      <c r="AB20" s="106"/>
      <c r="AC20" s="6">
        <f t="shared" si="7"/>
        <v>0</v>
      </c>
      <c r="AD20" s="6"/>
      <c r="AE20" s="107">
        <v>0.73</v>
      </c>
      <c r="AF20" s="107">
        <v>0.27</v>
      </c>
      <c r="AH20" s="4">
        <f>+($F20*T20)+($Z20*AE20)+($L20*'Low Income Pop'!G20)</f>
        <v>236971.01066861497</v>
      </c>
      <c r="AI20" s="4">
        <f>+($F20*U20)+($Z20*AF20)+($L20*'Low Income Pop'!H20)</f>
        <v>150042.63078271734</v>
      </c>
      <c r="AJ20" s="4">
        <f>+($F20*V20)+($L20*'Low Income Pop'!I20)</f>
        <v>345400.04779069632</v>
      </c>
      <c r="AK20" s="4">
        <f>+($F20*W20)+($L20*'Low Income Pop'!J20)</f>
        <v>316526.14883797133</v>
      </c>
    </row>
    <row r="21" spans="1:37" x14ac:dyDescent="0.2">
      <c r="A21" s="17" t="s">
        <v>125</v>
      </c>
      <c r="B21" s="4">
        <v>1549559</v>
      </c>
      <c r="C21" s="4">
        <v>948758</v>
      </c>
      <c r="D21" s="29">
        <v>136.1</v>
      </c>
      <c r="E21" s="4">
        <f t="shared" si="0"/>
        <v>-387377.89139999996</v>
      </c>
      <c r="F21" s="4">
        <f t="shared" si="1"/>
        <v>1162181.1085999999</v>
      </c>
      <c r="H21" s="101">
        <v>29119</v>
      </c>
      <c r="I21" s="20">
        <v>90595</v>
      </c>
      <c r="J21" s="102">
        <f t="shared" si="2"/>
        <v>119714</v>
      </c>
      <c r="K21" s="20"/>
      <c r="L21" s="4">
        <v>63191</v>
      </c>
      <c r="M21" s="6">
        <f t="shared" si="3"/>
        <v>1345086.1085999999</v>
      </c>
      <c r="N21" s="6"/>
      <c r="O21" s="6">
        <v>138</v>
      </c>
      <c r="P21" s="6">
        <v>270</v>
      </c>
      <c r="Q21" s="7">
        <f t="shared" si="4"/>
        <v>0.33823529411764708</v>
      </c>
      <c r="R21" s="7">
        <f t="shared" si="5"/>
        <v>0.66176470588235292</v>
      </c>
      <c r="S21" s="6"/>
      <c r="T21" s="68">
        <f>+Q21*'Low Income Pop'!O21</f>
        <v>0.20230331701121768</v>
      </c>
      <c r="U21" s="68">
        <f>+Q21*'Low Income Pop'!P21</f>
        <v>0.13593197710642937</v>
      </c>
      <c r="V21" s="68">
        <f>+R21*'Low Income Pop'!S21</f>
        <v>0.36621071585286508</v>
      </c>
      <c r="W21" s="68">
        <f>+R21*'Low Income Pop'!T21</f>
        <v>0.29555399002948785</v>
      </c>
      <c r="X21" s="110"/>
      <c r="Y21" s="16">
        <v>0.39</v>
      </c>
      <c r="Z21" s="4">
        <f t="shared" si="6"/>
        <v>73025.539999999994</v>
      </c>
      <c r="AA21" s="6">
        <f>39169+27221+17399</f>
        <v>83789</v>
      </c>
      <c r="AB21" s="6">
        <f>15307+11222</f>
        <v>26529</v>
      </c>
      <c r="AC21" s="6">
        <f t="shared" si="7"/>
        <v>110318</v>
      </c>
      <c r="AD21" s="6"/>
      <c r="AE21" s="7">
        <f t="shared" si="8"/>
        <v>0.75952247140085938</v>
      </c>
      <c r="AF21" s="7">
        <f t="shared" si="9"/>
        <v>0.24047752859914068</v>
      </c>
      <c r="AH21" s="4">
        <f>+($F21*T21)+($Z21*AE21)+($L21*'Low Income Pop'!G21)</f>
        <v>304204.33474259172</v>
      </c>
      <c r="AI21" s="4">
        <f>+($F21*U21)+($Z21*AF21)+($L21*'Low Income Pop'!H21)</f>
        <v>184694.65382233972</v>
      </c>
      <c r="AJ21" s="4">
        <f>+($F21*V21)+($L21*'Low Income Pop'!I21)</f>
        <v>447964.48214643705</v>
      </c>
      <c r="AK21" s="4">
        <f>+($F21*W21)+($L21*'Low Income Pop'!J21)</f>
        <v>361534.17788863136</v>
      </c>
    </row>
    <row r="22" spans="1:37" x14ac:dyDescent="0.2">
      <c r="A22" s="17" t="s">
        <v>0</v>
      </c>
      <c r="B22" s="4">
        <v>376751</v>
      </c>
      <c r="C22" s="4">
        <v>252860</v>
      </c>
      <c r="D22" s="29">
        <v>124.16</v>
      </c>
      <c r="E22" s="4">
        <f t="shared" si="0"/>
        <v>-94185.29280000001</v>
      </c>
      <c r="F22" s="4">
        <f t="shared" si="1"/>
        <v>282565.7072</v>
      </c>
      <c r="H22" s="101">
        <v>5901</v>
      </c>
      <c r="I22" s="20">
        <v>12707</v>
      </c>
      <c r="J22" s="102">
        <f t="shared" si="2"/>
        <v>18608</v>
      </c>
      <c r="K22" s="20"/>
      <c r="L22" s="4">
        <v>8961</v>
      </c>
      <c r="M22" s="6">
        <f t="shared" si="3"/>
        <v>310134.7072</v>
      </c>
      <c r="N22" s="6"/>
      <c r="O22" s="6">
        <v>25</v>
      </c>
      <c r="P22" s="6">
        <v>61</v>
      </c>
      <c r="Q22" s="7">
        <f t="shared" si="4"/>
        <v>0.29069767441860467</v>
      </c>
      <c r="R22" s="7">
        <f t="shared" si="5"/>
        <v>0.70930232558139539</v>
      </c>
      <c r="S22" s="6"/>
      <c r="T22" s="68">
        <f>+Q22*'Low Income Pop'!O22</f>
        <v>0.17095390410139905</v>
      </c>
      <c r="U22" s="68">
        <f>+Q22*'Low Income Pop'!P22</f>
        <v>0.11974377031720564</v>
      </c>
      <c r="V22" s="68">
        <f>+R22*'Low Income Pop'!S22</f>
        <v>0.43613756411104576</v>
      </c>
      <c r="W22" s="68">
        <f>+R22*'Low Income Pop'!T22</f>
        <v>0.27316476147034963</v>
      </c>
      <c r="X22" s="110"/>
      <c r="Y22" s="16">
        <v>0.42199999999999999</v>
      </c>
      <c r="Z22" s="4">
        <f t="shared" si="6"/>
        <v>10755.424000000001</v>
      </c>
      <c r="AA22" s="106"/>
      <c r="AB22" s="106"/>
      <c r="AC22" s="6">
        <f t="shared" si="7"/>
        <v>0</v>
      </c>
      <c r="AD22" s="6"/>
      <c r="AE22" s="107">
        <v>0.73</v>
      </c>
      <c r="AF22" s="107">
        <v>0.27</v>
      </c>
      <c r="AH22" s="4">
        <f>+($F22*T22)+($Z22*AE22)+($L22*'Low Income Pop'!G22)</f>
        <v>58171.906636568878</v>
      </c>
      <c r="AI22" s="4">
        <f>+($F22*U22)+($Z22*AF22)+($L22*'Low Income Pop'!H22)</f>
        <v>38150.659157481801</v>
      </c>
      <c r="AJ22" s="4">
        <f>+($F22*V22)+($L22*'Low Income Pop'!I22)</f>
        <v>126640.92576870082</v>
      </c>
      <c r="AK22" s="4">
        <f>+($F22*W22)+($L22*'Low Income Pop'!J22)</f>
        <v>79318.639637248518</v>
      </c>
    </row>
    <row r="23" spans="1:37" x14ac:dyDescent="0.2">
      <c r="A23" s="17" t="s">
        <v>1</v>
      </c>
      <c r="B23" s="4">
        <v>1104338</v>
      </c>
      <c r="C23" s="4">
        <v>716379</v>
      </c>
      <c r="D23" s="29">
        <v>128.46</v>
      </c>
      <c r="E23" s="4">
        <f t="shared" si="0"/>
        <v>-276078.13902</v>
      </c>
      <c r="F23" s="4">
        <f t="shared" si="1"/>
        <v>828259.86098</v>
      </c>
      <c r="H23" s="101">
        <v>29805</v>
      </c>
      <c r="I23" s="20">
        <v>78778</v>
      </c>
      <c r="J23" s="102">
        <f t="shared" si="2"/>
        <v>108583</v>
      </c>
      <c r="K23" s="20"/>
      <c r="L23" s="4">
        <v>43822</v>
      </c>
      <c r="M23" s="6">
        <f t="shared" si="3"/>
        <v>980664.86098</v>
      </c>
      <c r="N23" s="6"/>
      <c r="O23" s="6">
        <v>93</v>
      </c>
      <c r="P23" s="6">
        <v>203</v>
      </c>
      <c r="Q23" s="7">
        <f t="shared" si="4"/>
        <v>0.3141891891891892</v>
      </c>
      <c r="R23" s="7">
        <f t="shared" si="5"/>
        <v>0.68581081081081086</v>
      </c>
      <c r="S23" s="6"/>
      <c r="T23" s="68">
        <f>+Q23*'Low Income Pop'!O23</f>
        <v>0.18753590909925102</v>
      </c>
      <c r="U23" s="68">
        <f>+Q23*'Low Income Pop'!P23</f>
        <v>0.12665328008993815</v>
      </c>
      <c r="V23" s="68">
        <f>+R23*'Low Income Pop'!S23</f>
        <v>0.35207542003106312</v>
      </c>
      <c r="W23" s="68">
        <f>+R23*'Low Income Pop'!T23</f>
        <v>0.33373539077974779</v>
      </c>
      <c r="X23" s="110"/>
      <c r="Y23" s="16">
        <v>0.38500000000000001</v>
      </c>
      <c r="Z23" s="4">
        <f t="shared" si="6"/>
        <v>66778.544999999998</v>
      </c>
      <c r="AA23" s="6">
        <f>38991+26074+20902</f>
        <v>85967</v>
      </c>
      <c r="AB23" s="6">
        <f>18699+13742</f>
        <v>32441</v>
      </c>
      <c r="AC23" s="6">
        <f t="shared" si="7"/>
        <v>118408</v>
      </c>
      <c r="AD23" s="6"/>
      <c r="AE23" s="7">
        <f t="shared" si="8"/>
        <v>0.72602357948787244</v>
      </c>
      <c r="AF23" s="7">
        <f t="shared" si="9"/>
        <v>0.27397642051212756</v>
      </c>
      <c r="AH23" s="4">
        <f>+($F23*T23)+($Z23*AE23)+($L23*'Low Income Pop'!G23)</f>
        <v>214108.29719641965</v>
      </c>
      <c r="AI23" s="4">
        <f>+($F23*U23)+($Z23*AF23)+($L23*'Low Income Pop'!H23)</f>
        <v>130151.72570008058</v>
      </c>
      <c r="AJ23" s="4">
        <f>+($F23*V23)+($L23*'Low Income Pop'!I23)</f>
        <v>305250.62644791749</v>
      </c>
      <c r="AK23" s="4">
        <f>+($F23*W23)+($L23*'Low Income Pop'!J23)</f>
        <v>289349.75663558237</v>
      </c>
    </row>
    <row r="24" spans="1:37" x14ac:dyDescent="0.2">
      <c r="A24" s="17" t="s">
        <v>2</v>
      </c>
      <c r="B24" s="4">
        <v>1369997</v>
      </c>
      <c r="C24" s="4">
        <v>861568</v>
      </c>
      <c r="D24" s="29">
        <v>132.51</v>
      </c>
      <c r="E24" s="4">
        <f t="shared" si="0"/>
        <v>-342499.12703999999</v>
      </c>
      <c r="F24" s="4">
        <f t="shared" si="1"/>
        <v>1027497.8729600001</v>
      </c>
      <c r="H24" s="101">
        <v>25237</v>
      </c>
      <c r="I24" s="20">
        <v>60054</v>
      </c>
      <c r="J24" s="102">
        <f t="shared" si="2"/>
        <v>85291</v>
      </c>
      <c r="K24" s="20"/>
      <c r="L24" s="4">
        <v>52188</v>
      </c>
      <c r="M24" s="6">
        <f t="shared" si="3"/>
        <v>1164976.8729600001</v>
      </c>
      <c r="N24" s="6"/>
      <c r="O24" s="6">
        <v>105</v>
      </c>
      <c r="P24" s="6">
        <v>219</v>
      </c>
      <c r="Q24" s="7">
        <f t="shared" si="4"/>
        <v>0.32407407407407407</v>
      </c>
      <c r="R24" s="7">
        <f t="shared" si="5"/>
        <v>0.67592592592592593</v>
      </c>
      <c r="S24" s="6"/>
      <c r="T24" s="68">
        <f>+Q24*'Low Income Pop'!O24</f>
        <v>0.19386270915444204</v>
      </c>
      <c r="U24" s="68">
        <f>+Q24*'Low Income Pop'!P24</f>
        <v>0.13021136491963203</v>
      </c>
      <c r="V24" s="68">
        <f>+R24*'Low Income Pop'!S24</f>
        <v>0.33553957800468587</v>
      </c>
      <c r="W24" s="68">
        <f>+R24*'Low Income Pop'!T24</f>
        <v>0.34038634792124006</v>
      </c>
      <c r="X24" s="110"/>
      <c r="Y24" s="16">
        <v>0.40200000000000002</v>
      </c>
      <c r="Z24" s="4">
        <f t="shared" si="6"/>
        <v>51004.017999999996</v>
      </c>
      <c r="AA24" s="6">
        <f>26238+27882+18160</f>
        <v>72280</v>
      </c>
      <c r="AB24" s="6">
        <f>17591+7399</f>
        <v>24990</v>
      </c>
      <c r="AC24" s="6">
        <f t="shared" si="7"/>
        <v>97270</v>
      </c>
      <c r="AD24" s="6"/>
      <c r="AE24" s="7">
        <f t="shared" si="8"/>
        <v>0.74308625475480616</v>
      </c>
      <c r="AF24" s="7">
        <f t="shared" si="9"/>
        <v>0.25691374524519378</v>
      </c>
      <c r="AH24" s="4">
        <f>+($F24*T24)+($Z24*AE24)+($L24*'Low Income Pop'!G24)</f>
        <v>248117.07840870696</v>
      </c>
      <c r="AI24" s="4">
        <f>+($F24*U24)+($Z24*AF24)+($L24*'Low Income Pop'!H24)</f>
        <v>154299.44518077691</v>
      </c>
      <c r="AJ24" s="4">
        <f>+($F24*V24)+($L24*'Low Income Pop'!I24)</f>
        <v>361525.61839495745</v>
      </c>
      <c r="AK24" s="4">
        <f>+($F24*W24)+($L24*'Low Income Pop'!J24)</f>
        <v>366747.74897555873</v>
      </c>
    </row>
    <row r="25" spans="1:37" x14ac:dyDescent="0.2">
      <c r="A25" s="17" t="s">
        <v>3</v>
      </c>
      <c r="B25" s="4">
        <v>2980302</v>
      </c>
      <c r="C25" s="4">
        <v>1828384</v>
      </c>
      <c r="D25" s="29">
        <v>135.84</v>
      </c>
      <c r="E25" s="4">
        <f t="shared" si="0"/>
        <v>-745103.04767999996</v>
      </c>
      <c r="F25" s="4">
        <f t="shared" si="1"/>
        <v>2235198.9523200002</v>
      </c>
      <c r="H25" s="101">
        <v>57703</v>
      </c>
      <c r="I25" s="20">
        <v>132455</v>
      </c>
      <c r="J25" s="102">
        <f t="shared" si="2"/>
        <v>190158</v>
      </c>
      <c r="K25" s="20"/>
      <c r="L25" s="4">
        <v>57255</v>
      </c>
      <c r="M25" s="6">
        <f t="shared" si="3"/>
        <v>2482611.9523200002</v>
      </c>
      <c r="N25" s="6"/>
      <c r="O25" s="6">
        <v>231</v>
      </c>
      <c r="P25" s="6">
        <v>463</v>
      </c>
      <c r="Q25" s="7">
        <f t="shared" si="4"/>
        <v>0.33285302593659943</v>
      </c>
      <c r="R25" s="7">
        <f t="shared" si="5"/>
        <v>0.66714697406340062</v>
      </c>
      <c r="S25" s="6"/>
      <c r="T25" s="68">
        <f>+Q25*'Low Income Pop'!O25</f>
        <v>0.19677223458065288</v>
      </c>
      <c r="U25" s="68">
        <f>+Q25*'Low Income Pop'!P25</f>
        <v>0.13608079135594653</v>
      </c>
      <c r="V25" s="68">
        <f>+R25*'Low Income Pop'!S25</f>
        <v>0.34180129929237835</v>
      </c>
      <c r="W25" s="68">
        <f>+R25*'Low Income Pop'!T25</f>
        <v>0.32534567477102233</v>
      </c>
      <c r="X25" s="110"/>
      <c r="Y25" s="16">
        <v>0.41299999999999998</v>
      </c>
      <c r="Z25" s="4">
        <f t="shared" si="6"/>
        <v>111622.746</v>
      </c>
      <c r="AA25" s="6">
        <f>63421+52210+37116</f>
        <v>152747</v>
      </c>
      <c r="AB25" s="6">
        <f>33943+24631+13</f>
        <v>58587</v>
      </c>
      <c r="AC25" s="6">
        <f t="shared" si="7"/>
        <v>211334</v>
      </c>
      <c r="AD25" s="6"/>
      <c r="AE25" s="7">
        <f t="shared" si="8"/>
        <v>0.72277532247532339</v>
      </c>
      <c r="AF25" s="7">
        <f t="shared" si="9"/>
        <v>0.27722467752467655</v>
      </c>
      <c r="AH25" s="4">
        <f>+($F25*T25)+($Z25*AE25)+($L25*'Low Income Pop'!G25)</f>
        <v>532455.22233064496</v>
      </c>
      <c r="AI25" s="4">
        <f>+($F25*U25)+($Z25*AF25)+($L25*'Low Income Pop'!H25)</f>
        <v>343377.7817395053</v>
      </c>
      <c r="AJ25" s="4">
        <f>+($F25*V25)+($L25*'Low Income Pop'!I25)</f>
        <v>782969.42148813838</v>
      </c>
      <c r="AK25" s="4">
        <f>+($F25*W25)+($L25*'Low Income Pop'!J25)</f>
        <v>745274.27276171162</v>
      </c>
    </row>
    <row r="26" spans="1:37" x14ac:dyDescent="0.2">
      <c r="A26" s="17" t="s">
        <v>4</v>
      </c>
      <c r="B26" s="4">
        <v>749536</v>
      </c>
      <c r="C26" s="4">
        <v>538869</v>
      </c>
      <c r="D26" s="29">
        <v>115.91</v>
      </c>
      <c r="E26" s="4">
        <f t="shared" si="0"/>
        <v>-187380.91737000001</v>
      </c>
      <c r="F26" s="4">
        <f t="shared" si="1"/>
        <v>562155.08262999996</v>
      </c>
      <c r="H26" s="101">
        <v>30416</v>
      </c>
      <c r="I26" s="20">
        <v>66614</v>
      </c>
      <c r="J26" s="102">
        <f t="shared" si="2"/>
        <v>97030</v>
      </c>
      <c r="K26" s="20"/>
      <c r="L26" s="4">
        <v>56253</v>
      </c>
      <c r="M26" s="6">
        <f t="shared" si="3"/>
        <v>715438.08262999996</v>
      </c>
      <c r="N26" s="6"/>
      <c r="O26" s="6">
        <v>82</v>
      </c>
      <c r="P26" s="6">
        <v>156</v>
      </c>
      <c r="Q26" s="7">
        <f t="shared" si="4"/>
        <v>0.34453781512605042</v>
      </c>
      <c r="R26" s="7">
        <f t="shared" si="5"/>
        <v>0.65546218487394958</v>
      </c>
      <c r="S26" s="6"/>
      <c r="T26" s="68">
        <f>+Q26*'Low Income Pop'!O26</f>
        <v>0.20374374623391722</v>
      </c>
      <c r="U26" s="68">
        <f>+Q26*'Low Income Pop'!P26</f>
        <v>0.1407940688921332</v>
      </c>
      <c r="V26" s="68">
        <f>+R26*'Low Income Pop'!S26</f>
        <v>0.34993763658429367</v>
      </c>
      <c r="W26" s="68">
        <f>+R26*'Low Income Pop'!T26</f>
        <v>0.30552454828965592</v>
      </c>
      <c r="X26" s="110"/>
      <c r="Y26" s="16">
        <v>0.40600000000000003</v>
      </c>
      <c r="Z26" s="4">
        <f t="shared" si="6"/>
        <v>57635.82</v>
      </c>
      <c r="AA26" s="6">
        <f>28920+25808+19875</f>
        <v>74603</v>
      </c>
      <c r="AB26" s="6">
        <f>18400+14411</f>
        <v>32811</v>
      </c>
      <c r="AC26" s="6">
        <f t="shared" si="7"/>
        <v>107414</v>
      </c>
      <c r="AD26" s="6"/>
      <c r="AE26" s="7">
        <f t="shared" si="8"/>
        <v>0.69453702496881231</v>
      </c>
      <c r="AF26" s="7">
        <f t="shared" si="9"/>
        <v>0.30546297503118774</v>
      </c>
      <c r="AH26" s="4">
        <f>+($F26*T26)+($Z26*AE26)+($L26*'Low Income Pop'!G26)</f>
        <v>167580.47950575119</v>
      </c>
      <c r="AI26" s="4">
        <f>+($F26*U26)+($Z26*AF26)+($L26*'Low Income Pop'!H26)</f>
        <v>105747.31464179573</v>
      </c>
      <c r="AJ26" s="4">
        <f>+($F26*V26)+($L26*'Low Income Pop'!I26)</f>
        <v>215001.75977943672</v>
      </c>
      <c r="AK26" s="4">
        <f>+($F26*W26)+($L26*'Low Income Pop'!J26)</f>
        <v>187714.34870301635</v>
      </c>
    </row>
    <row r="27" spans="1:37" x14ac:dyDescent="0.2">
      <c r="A27" s="17" t="s">
        <v>5</v>
      </c>
      <c r="B27" s="4">
        <v>980028</v>
      </c>
      <c r="C27" s="4">
        <v>659872</v>
      </c>
      <c r="D27" s="29">
        <v>123.76</v>
      </c>
      <c r="E27" s="4">
        <f t="shared" si="0"/>
        <v>-244997.27616000004</v>
      </c>
      <c r="F27" s="4">
        <f t="shared" si="1"/>
        <v>735030.72383999999</v>
      </c>
      <c r="H27" s="101">
        <v>19171</v>
      </c>
      <c r="I27" s="20">
        <v>62043</v>
      </c>
      <c r="J27" s="102">
        <f t="shared" si="2"/>
        <v>81214</v>
      </c>
      <c r="K27" s="20"/>
      <c r="L27" s="4">
        <v>36497</v>
      </c>
      <c r="M27" s="6">
        <f t="shared" si="3"/>
        <v>852741.72383999999</v>
      </c>
      <c r="N27" s="6"/>
      <c r="O27" s="6">
        <v>91</v>
      </c>
      <c r="P27" s="6">
        <v>203</v>
      </c>
      <c r="Q27" s="7">
        <f t="shared" si="4"/>
        <v>0.30952380952380953</v>
      </c>
      <c r="R27" s="7">
        <f t="shared" si="5"/>
        <v>0.69047619047619047</v>
      </c>
      <c r="S27" s="6"/>
      <c r="T27" s="68">
        <f>+Q27*'Low Income Pop'!O27</f>
        <v>0.18099644237858811</v>
      </c>
      <c r="U27" s="68">
        <f>+Q27*'Low Income Pop'!P27</f>
        <v>0.12852736714522142</v>
      </c>
      <c r="V27" s="68">
        <f>+R27*'Low Income Pop'!S27</f>
        <v>0.35815318303863641</v>
      </c>
      <c r="W27" s="68">
        <f>+R27*'Low Income Pop'!T27</f>
        <v>0.33232300743755405</v>
      </c>
      <c r="X27" s="110"/>
      <c r="Y27" s="16">
        <v>0.497</v>
      </c>
      <c r="Z27" s="4">
        <f t="shared" si="6"/>
        <v>40850.642</v>
      </c>
      <c r="AA27" s="106"/>
      <c r="AB27" s="106"/>
      <c r="AC27" s="6">
        <f t="shared" si="7"/>
        <v>0</v>
      </c>
      <c r="AD27" s="6"/>
      <c r="AE27" s="107">
        <v>0.73</v>
      </c>
      <c r="AF27" s="107">
        <v>0.27</v>
      </c>
      <c r="AH27" s="4">
        <f>+($F27*T27)+($Z27*AE27)+($L27*'Low Income Pop'!G27)</f>
        <v>170819.11532345955</v>
      </c>
      <c r="AI27" s="4">
        <f>+($F27*U27)+($Z27*AF27)+($L27*'Low Income Pop'!H27)</f>
        <v>111153.85437282066</v>
      </c>
      <c r="AJ27" s="4">
        <f>+($F27*V27)+($L27*'Low Income Pop'!I27)</f>
        <v>275123.72410514374</v>
      </c>
      <c r="AK27" s="4">
        <f>+($F27*W27)+($L27*'Low Income Pop'!J27)</f>
        <v>255281.67203857598</v>
      </c>
    </row>
    <row r="28" spans="1:37" x14ac:dyDescent="0.2">
      <c r="A28" s="17" t="s">
        <v>6</v>
      </c>
      <c r="B28" s="4">
        <v>1462076</v>
      </c>
      <c r="C28" s="4">
        <v>947889</v>
      </c>
      <c r="D28" s="29">
        <v>128.54</v>
      </c>
      <c r="E28" s="4">
        <f t="shared" si="0"/>
        <v>-365524.95618000004</v>
      </c>
      <c r="F28" s="4">
        <f t="shared" si="1"/>
        <v>1096551.04382</v>
      </c>
      <c r="H28" s="101">
        <v>29467</v>
      </c>
      <c r="I28" s="20">
        <v>68181</v>
      </c>
      <c r="J28" s="102">
        <f t="shared" si="2"/>
        <v>97648</v>
      </c>
      <c r="K28" s="20"/>
      <c r="L28" s="4">
        <v>47081</v>
      </c>
      <c r="M28" s="6">
        <f t="shared" si="3"/>
        <v>1241280.04382</v>
      </c>
      <c r="N28" s="6"/>
      <c r="O28" s="6">
        <v>133</v>
      </c>
      <c r="P28" s="6">
        <v>282</v>
      </c>
      <c r="Q28" s="7">
        <f t="shared" si="4"/>
        <v>0.32048192771084338</v>
      </c>
      <c r="R28" s="7">
        <f t="shared" si="5"/>
        <v>0.67951807228915662</v>
      </c>
      <c r="S28" s="6"/>
      <c r="T28" s="68">
        <f>+Q28*'Low Income Pop'!O28</f>
        <v>0.18972983743456978</v>
      </c>
      <c r="U28" s="68">
        <f>+Q28*'Low Income Pop'!P28</f>
        <v>0.13075209027627363</v>
      </c>
      <c r="V28" s="68">
        <f>+R28*'Low Income Pop'!S28</f>
        <v>0.37149968529162392</v>
      </c>
      <c r="W28" s="68">
        <f>+R28*'Low Income Pop'!T28</f>
        <v>0.30801838699753264</v>
      </c>
      <c r="X28" s="110"/>
      <c r="Y28" s="16">
        <v>0.42899999999999999</v>
      </c>
      <c r="Z28" s="4">
        <f t="shared" si="6"/>
        <v>55757.007999999994</v>
      </c>
      <c r="AA28" s="6">
        <f>38597+29291+20446</f>
        <v>88334</v>
      </c>
      <c r="AB28" s="6">
        <f>18337+13224</f>
        <v>31561</v>
      </c>
      <c r="AC28" s="6">
        <f t="shared" si="7"/>
        <v>119895</v>
      </c>
      <c r="AD28" s="6"/>
      <c r="AE28" s="7">
        <f t="shared" si="8"/>
        <v>0.73676133283289547</v>
      </c>
      <c r="AF28" s="7">
        <f t="shared" si="9"/>
        <v>0.26323866716710453</v>
      </c>
      <c r="AH28" s="4">
        <f>+($F28*T28)+($Z28*AE28)+($L28*'Low Income Pop'!G28)</f>
        <v>259904.10441429133</v>
      </c>
      <c r="AI28" s="4">
        <f>+($F28*U28)+($Z28*AF28)+($L28*'Low Income Pop'!H28)</f>
        <v>165480.04046862017</v>
      </c>
      <c r="AJ28" s="4">
        <f>+($F28*V28)+($L28*'Low Income Pop'!I28)</f>
        <v>423156.63271858136</v>
      </c>
      <c r="AK28" s="4">
        <f>+($F28*W28)+($L28*'Low Income Pop'!J28)</f>
        <v>350848.27421850717</v>
      </c>
    </row>
    <row r="29" spans="1:37" x14ac:dyDescent="0.2">
      <c r="A29" s="17" t="s">
        <v>7</v>
      </c>
      <c r="B29" s="4">
        <v>193011</v>
      </c>
      <c r="C29" s="4">
        <v>125874</v>
      </c>
      <c r="D29" s="29">
        <v>127.78</v>
      </c>
      <c r="E29" s="4">
        <f t="shared" si="0"/>
        <v>-48252.53916</v>
      </c>
      <c r="F29" s="4">
        <f t="shared" si="1"/>
        <v>144758.46084000001</v>
      </c>
      <c r="H29" s="101">
        <v>5473</v>
      </c>
      <c r="I29" s="20">
        <v>10289</v>
      </c>
      <c r="J29" s="102">
        <f t="shared" si="2"/>
        <v>15762</v>
      </c>
      <c r="K29" s="20"/>
      <c r="L29" s="4">
        <v>9398</v>
      </c>
      <c r="M29" s="6">
        <f t="shared" si="3"/>
        <v>169918.46084000001</v>
      </c>
      <c r="N29" s="6"/>
      <c r="O29" s="6">
        <v>17</v>
      </c>
      <c r="P29" s="6">
        <v>33</v>
      </c>
      <c r="Q29" s="7">
        <f t="shared" si="4"/>
        <v>0.34</v>
      </c>
      <c r="R29" s="7">
        <f t="shared" si="5"/>
        <v>0.66</v>
      </c>
      <c r="S29" s="6"/>
      <c r="T29" s="68">
        <f>+Q29*'Low Income Pop'!O29</f>
        <v>0.20008267174069944</v>
      </c>
      <c r="U29" s="68">
        <f>+Q29*'Low Income Pop'!P29</f>
        <v>0.13991732825930059</v>
      </c>
      <c r="V29" s="68">
        <f>+R29*'Low Income Pop'!S29</f>
        <v>0.38764972909650025</v>
      </c>
      <c r="W29" s="68">
        <f>+R29*'Low Income Pop'!T29</f>
        <v>0.27235027090349978</v>
      </c>
      <c r="X29" s="110"/>
      <c r="Y29" s="16">
        <v>0.40799999999999997</v>
      </c>
      <c r="Z29" s="4">
        <f t="shared" si="6"/>
        <v>9331.1040000000012</v>
      </c>
      <c r="AA29" s="6">
        <f>5099+4330+3137</f>
        <v>12566</v>
      </c>
      <c r="AB29" s="6">
        <f>2838+1983</f>
        <v>4821</v>
      </c>
      <c r="AC29" s="6">
        <f t="shared" si="7"/>
        <v>17387</v>
      </c>
      <c r="AD29" s="6"/>
      <c r="AE29" s="7">
        <f t="shared" si="8"/>
        <v>0.72272387415885431</v>
      </c>
      <c r="AF29" s="7">
        <f t="shared" si="9"/>
        <v>0.27727612584114569</v>
      </c>
      <c r="AH29" s="4">
        <f>+($F29*T29)+($Z29*AE29)+($L29*'Low Income Pop'!G29)</f>
        <v>37783.582044579365</v>
      </c>
      <c r="AI29" s="4">
        <f>+($F29*U29)+($Z29*AF29)+($L29*'Low Income Pop'!H29)</f>
        <v>24293.328716707194</v>
      </c>
      <c r="AJ29" s="4">
        <f>+($F29*V29)+($L29*'Low Income Pop'!I29)</f>
        <v>59563.352395624497</v>
      </c>
      <c r="AK29" s="4">
        <f>+($F29*W29)+($L29*'Low Income Pop'!J29)</f>
        <v>41847.301683088961</v>
      </c>
    </row>
    <row r="30" spans="1:37" x14ac:dyDescent="0.2">
      <c r="A30" s="17" t="s">
        <v>8</v>
      </c>
      <c r="B30" s="4">
        <v>258675</v>
      </c>
      <c r="C30" s="4">
        <v>176073</v>
      </c>
      <c r="D30" s="29">
        <v>122.43</v>
      </c>
      <c r="E30" s="4">
        <f t="shared" si="0"/>
        <v>-64669.852169999998</v>
      </c>
      <c r="F30" s="4">
        <f t="shared" si="1"/>
        <v>194005.14783</v>
      </c>
      <c r="H30" s="101">
        <v>10472</v>
      </c>
      <c r="I30" s="20">
        <v>22230</v>
      </c>
      <c r="J30" s="102">
        <f t="shared" si="2"/>
        <v>32702</v>
      </c>
      <c r="K30" s="20"/>
      <c r="L30" s="4">
        <v>29484</v>
      </c>
      <c r="M30" s="6">
        <f t="shared" si="3"/>
        <v>256191.14783</v>
      </c>
      <c r="N30" s="6"/>
      <c r="O30" s="6">
        <v>30</v>
      </c>
      <c r="P30" s="6">
        <v>52</v>
      </c>
      <c r="Q30" s="7">
        <f t="shared" si="4"/>
        <v>0.36585365853658536</v>
      </c>
      <c r="R30" s="7">
        <f t="shared" si="5"/>
        <v>0.63414634146341464</v>
      </c>
      <c r="S30" s="6"/>
      <c r="T30" s="68">
        <f>+Q30*'Low Income Pop'!O30</f>
        <v>0.21894848375102435</v>
      </c>
      <c r="U30" s="68">
        <f>+Q30*'Low Income Pop'!P30</f>
        <v>0.14690517478556103</v>
      </c>
      <c r="V30" s="68">
        <f>+R30*'Low Income Pop'!S30</f>
        <v>0.34398705211158753</v>
      </c>
      <c r="W30" s="68">
        <f>+R30*'Low Income Pop'!T30</f>
        <v>0.29015928935182711</v>
      </c>
      <c r="X30" s="110"/>
      <c r="Y30" s="16">
        <v>0.375</v>
      </c>
      <c r="Z30" s="4">
        <f t="shared" si="6"/>
        <v>20438.75</v>
      </c>
      <c r="AA30" s="106"/>
      <c r="AB30" s="106"/>
      <c r="AC30" s="6">
        <f t="shared" si="7"/>
        <v>0</v>
      </c>
      <c r="AD30" s="6"/>
      <c r="AE30" s="107">
        <v>0.73</v>
      </c>
      <c r="AF30" s="107">
        <v>0.27</v>
      </c>
      <c r="AH30" s="4">
        <f>+($F30*T30)+($Z30*AE30)+($L30*'Low Income Pop'!G30)</f>
        <v>64579.038572664067</v>
      </c>
      <c r="AI30" s="4">
        <f>+($F30*U30)+($Z30*AF30)+($L30*'Low Income Pop'!H30)</f>
        <v>38837.384745919655</v>
      </c>
      <c r="AJ30" s="4">
        <f>+($F30*V30)+($L30*'Low Income Pop'!I30)</f>
        <v>76219.201696400647</v>
      </c>
      <c r="AK30" s="4">
        <f>+($F30*W30)+($L30*'Low Income Pop'!J30)</f>
        <v>64292.27281501564</v>
      </c>
    </row>
    <row r="31" spans="1:37" x14ac:dyDescent="0.2">
      <c r="A31" s="17" t="s">
        <v>92</v>
      </c>
      <c r="B31" s="4">
        <v>525319</v>
      </c>
      <c r="C31" s="4">
        <v>354900</v>
      </c>
      <c r="D31" s="29">
        <v>123.35</v>
      </c>
      <c r="E31" s="4">
        <f t="shared" si="0"/>
        <v>-131330.74499999997</v>
      </c>
      <c r="F31" s="4">
        <f t="shared" si="1"/>
        <v>393988.255</v>
      </c>
      <c r="H31" s="101">
        <v>14258</v>
      </c>
      <c r="I31" s="20">
        <v>34687</v>
      </c>
      <c r="J31" s="102">
        <f t="shared" si="2"/>
        <v>48945</v>
      </c>
      <c r="K31" s="20"/>
      <c r="L31" s="4">
        <v>6683</v>
      </c>
      <c r="M31" s="6">
        <f t="shared" si="3"/>
        <v>449616.255</v>
      </c>
      <c r="N31" s="6"/>
      <c r="O31" s="6">
        <v>55</v>
      </c>
      <c r="P31" s="6">
        <v>113</v>
      </c>
      <c r="Q31" s="7">
        <f t="shared" si="4"/>
        <v>0.32738095238095238</v>
      </c>
      <c r="R31" s="7">
        <f t="shared" si="5"/>
        <v>0.67261904761904767</v>
      </c>
      <c r="S31" s="6"/>
      <c r="T31" s="68">
        <f>+Q31*'Low Income Pop'!O31</f>
        <v>0.19371273531098082</v>
      </c>
      <c r="U31" s="68">
        <f>+Q31*'Low Income Pop'!P31</f>
        <v>0.13366821706997156</v>
      </c>
      <c r="V31" s="68">
        <f>+R31*'Low Income Pop'!S31</f>
        <v>0.35534735322184091</v>
      </c>
      <c r="W31" s="68">
        <f>+R31*'Low Income Pop'!T31</f>
        <v>0.31727169439720676</v>
      </c>
      <c r="X31" s="110"/>
      <c r="Y31" s="16">
        <v>0.36699999999999999</v>
      </c>
      <c r="Z31" s="4">
        <f t="shared" si="6"/>
        <v>30982.185000000001</v>
      </c>
      <c r="AA31" s="6">
        <f>17844+14565+10341</f>
        <v>42750</v>
      </c>
      <c r="AB31" s="6">
        <f>9574+7911+17</f>
        <v>17502</v>
      </c>
      <c r="AC31" s="6">
        <f t="shared" si="7"/>
        <v>60252</v>
      </c>
      <c r="AD31" s="6"/>
      <c r="AE31" s="7">
        <f t="shared" si="8"/>
        <v>0.70952001593308101</v>
      </c>
      <c r="AF31" s="7">
        <f t="shared" si="9"/>
        <v>0.29047998406691894</v>
      </c>
      <c r="AH31" s="4">
        <f>+($F31*T31)+($Z31*AE31)+($L31*'Low Income Pop'!G31)</f>
        <v>99810.360194327877</v>
      </c>
      <c r="AI31" s="4">
        <f>+($F31*U31)+($Z31*AF31)+($L31*'Low Income Pop'!H31)</f>
        <v>62703.524926690203</v>
      </c>
      <c r="AJ31" s="4">
        <f>+($F31*V31)+($L31*'Low Income Pop'!I31)</f>
        <v>142187.51135890713</v>
      </c>
      <c r="AK31" s="4">
        <f>+($F31*W31)+($L31*'Low Income Pop'!J31)</f>
        <v>126952.04352007482</v>
      </c>
    </row>
    <row r="32" spans="1:37" x14ac:dyDescent="0.2">
      <c r="A32" s="17" t="s">
        <v>9</v>
      </c>
      <c r="B32" s="4">
        <v>166473</v>
      </c>
      <c r="C32" s="4">
        <v>116895</v>
      </c>
      <c r="D32" s="29">
        <v>118.68</v>
      </c>
      <c r="E32" s="4">
        <f t="shared" si="0"/>
        <v>-41619.2958</v>
      </c>
      <c r="F32" s="4">
        <f t="shared" si="1"/>
        <v>124853.70420000001</v>
      </c>
      <c r="H32" s="101">
        <v>4108</v>
      </c>
      <c r="I32" s="20">
        <v>6739</v>
      </c>
      <c r="J32" s="102">
        <f t="shared" si="2"/>
        <v>10847</v>
      </c>
      <c r="K32" s="20"/>
      <c r="L32" s="4">
        <v>3945</v>
      </c>
      <c r="M32" s="6">
        <f t="shared" si="3"/>
        <v>139645.70420000001</v>
      </c>
      <c r="N32" s="6"/>
      <c r="O32" s="6">
        <v>16</v>
      </c>
      <c r="P32" s="6">
        <v>32</v>
      </c>
      <c r="Q32" s="7">
        <f t="shared" si="4"/>
        <v>0.33333333333333331</v>
      </c>
      <c r="R32" s="7">
        <f t="shared" si="5"/>
        <v>0.66666666666666663</v>
      </c>
      <c r="S32" s="6"/>
      <c r="T32" s="68">
        <f>+Q32*'Low Income Pop'!O32</f>
        <v>0.19524509878246632</v>
      </c>
      <c r="U32" s="68">
        <f>+Q32*'Low Income Pop'!P32</f>
        <v>0.13808823455086702</v>
      </c>
      <c r="V32" s="68">
        <f>+R32*'Low Income Pop'!S32</f>
        <v>0.33029293952994543</v>
      </c>
      <c r="W32" s="68">
        <f>+R32*'Low Income Pop'!T32</f>
        <v>0.33637372713672115</v>
      </c>
      <c r="X32" s="110"/>
      <c r="Y32" s="16">
        <v>0.41599999999999998</v>
      </c>
      <c r="Z32" s="4">
        <f t="shared" si="6"/>
        <v>6334.648000000001</v>
      </c>
      <c r="AA32" s="6">
        <f>4539+3476+2398</f>
        <v>10413</v>
      </c>
      <c r="AB32" s="6">
        <f>2207+1700</f>
        <v>3907</v>
      </c>
      <c r="AC32" s="6">
        <f t="shared" si="7"/>
        <v>14320</v>
      </c>
      <c r="AD32" s="6"/>
      <c r="AE32" s="7">
        <f t="shared" si="8"/>
        <v>0.72716480446927378</v>
      </c>
      <c r="AF32" s="7">
        <f t="shared" si="9"/>
        <v>0.27283519553072627</v>
      </c>
      <c r="AH32" s="4">
        <f>+($F32*T32)+($Z32*AE32)+($L32*'Low Income Pop'!G32)</f>
        <v>29776.608302581357</v>
      </c>
      <c r="AI32" s="4">
        <f>+($F32*U32)+($Z32*AF32)+($L32*'Low Income Pop'!H32)</f>
        <v>19530.138843977871</v>
      </c>
      <c r="AJ32" s="4">
        <f>+($F32*V32)+($L32*'Low Income Pop'!I32)</f>
        <v>42521.882509464936</v>
      </c>
      <c r="AK32" s="4">
        <f>+($F32*W32)+($L32*'Low Income Pop'!J32)</f>
        <v>43304.722543975833</v>
      </c>
    </row>
    <row r="33" spans="1:37" x14ac:dyDescent="0.2">
      <c r="A33" s="17" t="s">
        <v>10</v>
      </c>
      <c r="B33" s="4">
        <v>1321102</v>
      </c>
      <c r="C33" s="4">
        <v>826134</v>
      </c>
      <c r="D33" s="29">
        <v>133.26</v>
      </c>
      <c r="E33" s="4">
        <f t="shared" si="0"/>
        <v>-330271.85051999998</v>
      </c>
      <c r="F33" s="4">
        <f t="shared" si="1"/>
        <v>990830.14948000002</v>
      </c>
      <c r="H33" s="101">
        <v>29923</v>
      </c>
      <c r="I33" s="20">
        <v>109022</v>
      </c>
      <c r="J33" s="102">
        <f t="shared" si="2"/>
        <v>138945</v>
      </c>
      <c r="K33" s="20"/>
      <c r="L33" s="4">
        <v>62100</v>
      </c>
      <c r="M33" s="6">
        <f t="shared" si="3"/>
        <v>1191875.1494800001</v>
      </c>
      <c r="N33" s="6"/>
      <c r="O33" s="6">
        <v>135</v>
      </c>
      <c r="P33" s="6">
        <v>234</v>
      </c>
      <c r="Q33" s="7">
        <f t="shared" si="4"/>
        <v>0.36585365853658536</v>
      </c>
      <c r="R33" s="7">
        <f t="shared" si="5"/>
        <v>0.63414634146341464</v>
      </c>
      <c r="S33" s="6"/>
      <c r="T33" s="68">
        <f>+Q33*'Low Income Pop'!O33</f>
        <v>0.21659908894535349</v>
      </c>
      <c r="U33" s="68">
        <f>+Q33*'Low Income Pop'!P33</f>
        <v>0.14925456959123187</v>
      </c>
      <c r="V33" s="68">
        <f>+R33*'Low Income Pop'!S33</f>
        <v>0.31272325114585353</v>
      </c>
      <c r="W33" s="68">
        <f>+R33*'Low Income Pop'!T33</f>
        <v>0.32142309031756117</v>
      </c>
      <c r="X33" s="110"/>
      <c r="Y33" s="16">
        <v>0.40500000000000003</v>
      </c>
      <c r="Z33" s="4">
        <f t="shared" si="6"/>
        <v>82672.274999999994</v>
      </c>
      <c r="AA33" s="6">
        <f>40473+33415+24253</f>
        <v>98141</v>
      </c>
      <c r="AB33" s="6">
        <f>21577+14955</f>
        <v>36532</v>
      </c>
      <c r="AC33" s="6">
        <f t="shared" si="7"/>
        <v>134673</v>
      </c>
      <c r="AD33" s="6"/>
      <c r="AE33" s="7">
        <f t="shared" si="8"/>
        <v>0.72873552976468925</v>
      </c>
      <c r="AF33" s="7">
        <f t="shared" si="9"/>
        <v>0.2712644702353107</v>
      </c>
      <c r="AH33" s="4">
        <f>+($F33*T33)+($Z33*AE33)+($L33*'Low Income Pop'!G33)</f>
        <v>288326.48933401157</v>
      </c>
      <c r="AI33" s="4">
        <f>+($F33*U33)+($Z33*AF33)+($L33*'Low Income Pop'!H33)</f>
        <v>179592.09429643434</v>
      </c>
      <c r="AJ33" s="4">
        <f>+($F33*V33)+($L33*'Low Income Pop'!I33)</f>
        <v>329261.95074495964</v>
      </c>
      <c r="AK33" s="4">
        <f>+($F33*W33)+($L33*'Low Income Pop'!J33)</f>
        <v>338421.89010459447</v>
      </c>
    </row>
    <row r="34" spans="1:37" x14ac:dyDescent="0.2">
      <c r="A34" s="17" t="s">
        <v>11</v>
      </c>
      <c r="B34" s="4">
        <v>674067</v>
      </c>
      <c r="C34" s="4">
        <v>438252</v>
      </c>
      <c r="D34" s="29">
        <v>128.16999999999999</v>
      </c>
      <c r="E34" s="4">
        <f t="shared" si="0"/>
        <v>-168512.27652000001</v>
      </c>
      <c r="F34" s="4">
        <f t="shared" si="1"/>
        <v>505554.72347999999</v>
      </c>
      <c r="H34" s="101">
        <v>14426</v>
      </c>
      <c r="I34" s="20">
        <v>29308</v>
      </c>
      <c r="J34" s="102">
        <f t="shared" si="2"/>
        <v>43734</v>
      </c>
      <c r="K34" s="20"/>
      <c r="L34" s="4">
        <v>29215</v>
      </c>
      <c r="M34" s="6">
        <f t="shared" si="3"/>
        <v>578503.72347999993</v>
      </c>
      <c r="N34" s="6"/>
      <c r="O34" s="6">
        <v>62</v>
      </c>
      <c r="P34" s="6">
        <v>137</v>
      </c>
      <c r="Q34" s="7">
        <f t="shared" si="4"/>
        <v>0.31155778894472363</v>
      </c>
      <c r="R34" s="7">
        <f t="shared" si="5"/>
        <v>0.68844221105527637</v>
      </c>
      <c r="S34" s="6"/>
      <c r="T34" s="68">
        <f>+Q34*'Low Income Pop'!O34</f>
        <v>0.1858241995844791</v>
      </c>
      <c r="U34" s="68">
        <f>+Q34*'Low Income Pop'!P34</f>
        <v>0.12573358936024454</v>
      </c>
      <c r="V34" s="68">
        <f>+R34*'Low Income Pop'!S34</f>
        <v>0.39771578453359452</v>
      </c>
      <c r="W34" s="68">
        <f>+R34*'Low Income Pop'!T34</f>
        <v>0.29072642652168185</v>
      </c>
      <c r="X34" s="110"/>
      <c r="Y34" s="16">
        <v>0.502</v>
      </c>
      <c r="Z34" s="4">
        <f t="shared" si="6"/>
        <v>21779.531999999999</v>
      </c>
      <c r="AA34" s="6">
        <f>15162+11108+8499</f>
        <v>34769</v>
      </c>
      <c r="AB34" s="6">
        <f>78336+5204+1</f>
        <v>83541</v>
      </c>
      <c r="AC34" s="6">
        <f t="shared" si="7"/>
        <v>118310</v>
      </c>
      <c r="AD34" s="6"/>
      <c r="AE34" s="7">
        <f t="shared" si="8"/>
        <v>0.29388048347561491</v>
      </c>
      <c r="AF34" s="7">
        <f t="shared" si="9"/>
        <v>0.70611951652438509</v>
      </c>
      <c r="AH34" s="4">
        <f>+($F34*T34)+($Z34*AE34)+($L34*'Low Income Pop'!G34)</f>
        <v>107027.50154305778</v>
      </c>
      <c r="AI34" s="4">
        <f>+($F34*U34)+($Z34*AF34)+($L34*'Low Income Pop'!H34)</f>
        <v>83465.801016251557</v>
      </c>
      <c r="AJ34" s="4">
        <f>+($F34*V34)+($L34*'Low Income Pop'!I34)</f>
        <v>211471.96984897781</v>
      </c>
      <c r="AK34" s="4">
        <f>+($F34*W34)+($L34*'Low Income Pop'!J34)</f>
        <v>154583.98307171284</v>
      </c>
    </row>
    <row r="35" spans="1:37" x14ac:dyDescent="0.2">
      <c r="A35" s="17" t="s">
        <v>12</v>
      </c>
      <c r="B35" s="4">
        <v>5444102</v>
      </c>
      <c r="C35" s="4">
        <v>3076911</v>
      </c>
      <c r="D35" s="29">
        <v>147.44999999999999</v>
      </c>
      <c r="E35" s="4">
        <f t="shared" si="0"/>
        <v>-1361071.5808499998</v>
      </c>
      <c r="F35" s="4">
        <f t="shared" si="1"/>
        <v>4083030.4191500004</v>
      </c>
      <c r="H35" s="101">
        <v>110069</v>
      </c>
      <c r="I35" s="20">
        <v>346072</v>
      </c>
      <c r="J35" s="102">
        <f t="shared" si="2"/>
        <v>456141</v>
      </c>
      <c r="K35" s="20"/>
      <c r="L35" s="4">
        <v>196470</v>
      </c>
      <c r="M35" s="6">
        <f t="shared" si="3"/>
        <v>4735641.4191500004</v>
      </c>
      <c r="N35" s="6"/>
      <c r="O35" s="6">
        <v>383</v>
      </c>
      <c r="P35" s="6">
        <v>770</v>
      </c>
      <c r="Q35" s="7">
        <f t="shared" si="4"/>
        <v>0.33217692974848223</v>
      </c>
      <c r="R35" s="7">
        <f t="shared" si="5"/>
        <v>0.66782307025151777</v>
      </c>
      <c r="S35" s="6"/>
      <c r="T35" s="68">
        <f>+Q35*'Low Income Pop'!O35</f>
        <v>0.20222355801003356</v>
      </c>
      <c r="U35" s="68">
        <f>+Q35*'Low Income Pop'!P35</f>
        <v>0.12995337173844868</v>
      </c>
      <c r="V35" s="68">
        <f>+R35*'Low Income Pop'!S35</f>
        <v>0.34165804050894255</v>
      </c>
      <c r="W35" s="68">
        <f>+R35*'Low Income Pop'!T35</f>
        <v>0.32616502974257522</v>
      </c>
      <c r="X35" s="110"/>
      <c r="Y35" s="16">
        <v>0.39300000000000002</v>
      </c>
      <c r="Z35" s="4">
        <f t="shared" si="6"/>
        <v>276877.587</v>
      </c>
      <c r="AA35" s="106"/>
      <c r="AB35" s="106"/>
      <c r="AC35" s="6">
        <f t="shared" si="7"/>
        <v>0</v>
      </c>
      <c r="AD35" s="6"/>
      <c r="AE35" s="107">
        <v>0.73</v>
      </c>
      <c r="AF35" s="107">
        <v>0.27</v>
      </c>
      <c r="AH35" s="4">
        <f>+($F35*T35)+($Z35*AE35)+($L35*'Low Income Pop'!G35)</f>
        <v>1071047.1291657705</v>
      </c>
      <c r="AI35" s="4">
        <f>+($F35*U35)+($Z35*AF35)+($L35*'Low Income Pop'!H35)</f>
        <v>633148.50467047398</v>
      </c>
      <c r="AJ35" s="4">
        <f>+($F35*V35)+($L35*'Low Income Pop'!I35)</f>
        <v>1459175.4671366122</v>
      </c>
      <c r="AK35" s="4">
        <f>+($F35*W35)+($L35*'Low Income Pop'!J35)</f>
        <v>1393006.9051771434</v>
      </c>
    </row>
    <row r="36" spans="1:37" x14ac:dyDescent="0.2">
      <c r="A36" s="17" t="s">
        <v>13</v>
      </c>
      <c r="B36" s="4">
        <v>2430133</v>
      </c>
      <c r="C36" s="4">
        <v>1668588</v>
      </c>
      <c r="D36" s="29">
        <v>121.37</v>
      </c>
      <c r="E36" s="4">
        <f t="shared" si="0"/>
        <v>-607549.57668000006</v>
      </c>
      <c r="F36" s="4">
        <f t="shared" si="1"/>
        <v>1822583.4233200001</v>
      </c>
      <c r="H36" s="101">
        <v>57426</v>
      </c>
      <c r="I36" s="20">
        <v>145883</v>
      </c>
      <c r="J36" s="102">
        <f t="shared" si="2"/>
        <v>203309</v>
      </c>
      <c r="K36" s="20"/>
      <c r="L36" s="4">
        <v>80186</v>
      </c>
      <c r="M36" s="6">
        <f t="shared" si="3"/>
        <v>2106078.4233200001</v>
      </c>
      <c r="N36" s="6"/>
      <c r="O36" s="6">
        <v>235</v>
      </c>
      <c r="P36" s="6">
        <v>494</v>
      </c>
      <c r="Q36" s="7">
        <f t="shared" si="4"/>
        <v>0.3223593964334705</v>
      </c>
      <c r="R36" s="7">
        <f t="shared" si="5"/>
        <v>0.67764060356652944</v>
      </c>
      <c r="S36" s="6"/>
      <c r="T36" s="68">
        <f>+Q36*'Low Income Pop'!O36</f>
        <v>0.18990262033854066</v>
      </c>
      <c r="U36" s="68">
        <f>+Q36*'Low Income Pop'!P36</f>
        <v>0.13245677609492984</v>
      </c>
      <c r="V36" s="68">
        <f>+R36*'Low Income Pop'!S36</f>
        <v>0.36814966465299848</v>
      </c>
      <c r="W36" s="68">
        <f>+R36*'Low Income Pop'!T36</f>
        <v>0.30949093891353091</v>
      </c>
      <c r="X36" s="110"/>
      <c r="Y36" s="16">
        <v>0.42699999999999999</v>
      </c>
      <c r="Z36" s="4">
        <f t="shared" si="6"/>
        <v>116496.05699999999</v>
      </c>
      <c r="AA36" s="106"/>
      <c r="AB36" s="106"/>
      <c r="AC36" s="6">
        <f t="shared" si="7"/>
        <v>0</v>
      </c>
      <c r="AD36" s="6"/>
      <c r="AE36" s="107">
        <v>0.73</v>
      </c>
      <c r="AF36" s="107">
        <v>0.27</v>
      </c>
      <c r="AH36" s="4">
        <f>+($F36*T36)+($Z36*AE36)+($L36*'Low Income Pop'!G36)</f>
        <v>448923.07976680819</v>
      </c>
      <c r="AI36" s="4">
        <f>+($F36*U36)+($Z36*AF36)+($L36*'Low Income Pop'!H36)</f>
        <v>285260.32581189671</v>
      </c>
      <c r="AJ36" s="4">
        <f>+($F36*V36)+($L36*'Low Income Pop'!I36)</f>
        <v>698161.43303334247</v>
      </c>
      <c r="AK36" s="4">
        <f>+($F36*W36)+($L36*'Low Income Pop'!J36)</f>
        <v>586920.64170795248</v>
      </c>
    </row>
    <row r="37" spans="1:37" x14ac:dyDescent="0.2">
      <c r="A37" s="17" t="s">
        <v>14</v>
      </c>
      <c r="B37" s="4">
        <v>90678</v>
      </c>
      <c r="C37" s="4">
        <v>58796</v>
      </c>
      <c r="D37" s="29">
        <v>128.52000000000001</v>
      </c>
      <c r="E37" s="4">
        <f t="shared" si="0"/>
        <v>-22669.385760000005</v>
      </c>
      <c r="F37" s="4">
        <f t="shared" si="1"/>
        <v>68008.614239999995</v>
      </c>
      <c r="H37" s="101">
        <v>4569</v>
      </c>
      <c r="I37" s="20">
        <v>7885</v>
      </c>
      <c r="J37" s="102">
        <f t="shared" si="2"/>
        <v>12454</v>
      </c>
      <c r="K37" s="20"/>
      <c r="L37" s="4">
        <v>8987</v>
      </c>
      <c r="M37" s="6">
        <f t="shared" si="3"/>
        <v>89449.614239999995</v>
      </c>
      <c r="N37" s="6"/>
      <c r="O37" s="6">
        <v>11</v>
      </c>
      <c r="P37" s="6">
        <v>14</v>
      </c>
      <c r="Q37" s="7">
        <f t="shared" si="4"/>
        <v>0.44</v>
      </c>
      <c r="R37" s="7">
        <f t="shared" si="5"/>
        <v>0.56000000000000005</v>
      </c>
      <c r="S37" s="6"/>
      <c r="T37" s="68">
        <f>+Q37*'Low Income Pop'!O37</f>
        <v>0.26269838860092387</v>
      </c>
      <c r="U37" s="68">
        <f>+Q37*'Low Income Pop'!P37</f>
        <v>0.1773016113990761</v>
      </c>
      <c r="V37" s="68">
        <f>+R37*'Low Income Pop'!S37</f>
        <v>0.31334621464956969</v>
      </c>
      <c r="W37" s="68">
        <f>+R37*'Low Income Pop'!T37</f>
        <v>0.24665378535043039</v>
      </c>
      <c r="X37" s="110"/>
      <c r="Y37" s="16">
        <v>0.41799999999999998</v>
      </c>
      <c r="Z37" s="4">
        <f t="shared" si="6"/>
        <v>7248.228000000001</v>
      </c>
      <c r="AA37" s="6">
        <f>3462+2491+1925</f>
        <v>7878</v>
      </c>
      <c r="AB37" s="6">
        <f>1702+1304+2</f>
        <v>3008</v>
      </c>
      <c r="AC37" s="6">
        <f t="shared" si="7"/>
        <v>10886</v>
      </c>
      <c r="AD37" s="6"/>
      <c r="AE37" s="7">
        <f t="shared" si="8"/>
        <v>0.72368179312878922</v>
      </c>
      <c r="AF37" s="7">
        <f t="shared" si="9"/>
        <v>0.27631820687121073</v>
      </c>
      <c r="AH37" s="4">
        <f>+($F37*T37)+($Z37*AE37)+($L37*'Low Income Pop'!G37)</f>
        <v>24849.15032537709</v>
      </c>
      <c r="AI37" s="4">
        <f>+($F37*U37)+($Z37*AF37)+($L37*'Low Income Pop'!H37)</f>
        <v>15233.864021215722</v>
      </c>
      <c r="AJ37" s="4">
        <f>+($F37*V37)+($L37*'Low Income Pop'!I37)</f>
        <v>24710.050457482626</v>
      </c>
      <c r="AK37" s="4">
        <f>+($F37*W37)+($L37*'Low Income Pop'!J37)</f>
        <v>19450.77743592456</v>
      </c>
    </row>
    <row r="38" spans="1:37" x14ac:dyDescent="0.2">
      <c r="A38" s="17" t="s">
        <v>15</v>
      </c>
      <c r="B38" s="4">
        <v>3006931</v>
      </c>
      <c r="C38" s="4">
        <v>1807913</v>
      </c>
      <c r="D38" s="29">
        <v>138.6</v>
      </c>
      <c r="E38" s="4">
        <f t="shared" si="0"/>
        <v>-751730.22539999988</v>
      </c>
      <c r="F38" s="4">
        <f t="shared" si="1"/>
        <v>2255200.7746000001</v>
      </c>
      <c r="H38" s="101">
        <v>55041</v>
      </c>
      <c r="I38" s="20">
        <v>119126</v>
      </c>
      <c r="J38" s="102">
        <f t="shared" si="2"/>
        <v>174167</v>
      </c>
      <c r="K38" s="20"/>
      <c r="L38" s="4">
        <v>86069</v>
      </c>
      <c r="M38" s="6">
        <f t="shared" si="3"/>
        <v>2515436.7746000001</v>
      </c>
      <c r="N38" s="6"/>
      <c r="O38" s="6">
        <v>163</v>
      </c>
      <c r="P38" s="6">
        <v>497</v>
      </c>
      <c r="Q38" s="7">
        <f t="shared" si="4"/>
        <v>0.24696969696969698</v>
      </c>
      <c r="R38" s="7">
        <f t="shared" si="5"/>
        <v>0.75303030303030305</v>
      </c>
      <c r="S38" s="6"/>
      <c r="T38" s="68">
        <f>+Q38*'Low Income Pop'!O38</f>
        <v>0.14550587181993058</v>
      </c>
      <c r="U38" s="68">
        <f>+Q38*'Low Income Pop'!P38</f>
        <v>0.10146382514976642</v>
      </c>
      <c r="V38" s="68">
        <f>+R38*'Low Income Pop'!S38</f>
        <v>0.40114461188283301</v>
      </c>
      <c r="W38" s="68">
        <f>+R38*'Low Income Pop'!T38</f>
        <v>0.35188569114747004</v>
      </c>
      <c r="X38" s="110"/>
      <c r="Y38" s="16">
        <v>0.437</v>
      </c>
      <c r="Z38" s="4">
        <f t="shared" si="6"/>
        <v>98056.020999999993</v>
      </c>
      <c r="AA38" s="106"/>
      <c r="AB38" s="106"/>
      <c r="AC38" s="6">
        <f t="shared" si="7"/>
        <v>0</v>
      </c>
      <c r="AD38" s="6"/>
      <c r="AE38" s="107">
        <v>0.73</v>
      </c>
      <c r="AF38" s="107">
        <v>0.27</v>
      </c>
      <c r="AH38" s="4">
        <f>+($F38*T38)+($Z38*AE38)+($L38*'Low Income Pop'!G38)</f>
        <v>418934.77430281317</v>
      </c>
      <c r="AI38" s="4">
        <f>+($F38*U38)+($Z38*AF38)+($L38*'Low Income Pop'!H38)</f>
        <v>268691.14623586653</v>
      </c>
      <c r="AJ38" s="4">
        <f>+($F38*V38)+($L38*'Low Income Pop'!I38)</f>
        <v>933143.01388533029</v>
      </c>
      <c r="AK38" s="4">
        <f>+($F38*W38)+($L38*'Low Income Pop'!J38)</f>
        <v>818556.8611759902</v>
      </c>
    </row>
    <row r="39" spans="1:37" x14ac:dyDescent="0.2">
      <c r="A39" s="17" t="s">
        <v>16</v>
      </c>
      <c r="B39" s="4">
        <v>947199</v>
      </c>
      <c r="C39" s="4">
        <v>614947</v>
      </c>
      <c r="D39" s="29">
        <v>128.36000000000001</v>
      </c>
      <c r="E39" s="4">
        <f t="shared" si="0"/>
        <v>-236803.79076000003</v>
      </c>
      <c r="F39" s="4">
        <f t="shared" si="1"/>
        <v>710395.20924</v>
      </c>
      <c r="H39" s="101">
        <v>31091</v>
      </c>
      <c r="I39" s="20">
        <v>58903</v>
      </c>
      <c r="J39" s="102">
        <f t="shared" si="2"/>
        <v>89994</v>
      </c>
      <c r="K39" s="20"/>
      <c r="L39" s="4">
        <v>52584</v>
      </c>
      <c r="M39" s="6">
        <f t="shared" si="3"/>
        <v>852973.20924</v>
      </c>
      <c r="N39" s="6"/>
      <c r="O39" s="6">
        <v>90</v>
      </c>
      <c r="P39" s="6">
        <v>184</v>
      </c>
      <c r="Q39" s="7">
        <f t="shared" si="4"/>
        <v>0.32846715328467152</v>
      </c>
      <c r="R39" s="7">
        <f t="shared" si="5"/>
        <v>0.67153284671532842</v>
      </c>
      <c r="S39" s="6"/>
      <c r="T39" s="68">
        <f>+Q39*'Low Income Pop'!O39</f>
        <v>0.1940160296493732</v>
      </c>
      <c r="U39" s="68">
        <f>+Q39*'Low Income Pop'!P39</f>
        <v>0.13445112363529829</v>
      </c>
      <c r="V39" s="68">
        <f>+R39*'Low Income Pop'!S39</f>
        <v>0.36937663147624838</v>
      </c>
      <c r="W39" s="68">
        <f>+R39*'Low Income Pop'!T39</f>
        <v>0.30215621523907998</v>
      </c>
      <c r="X39" s="110"/>
      <c r="Y39" s="16">
        <v>0.48499999999999999</v>
      </c>
      <c r="Z39" s="4">
        <f t="shared" si="6"/>
        <v>46346.91</v>
      </c>
      <c r="AA39" s="6">
        <f>27085+18244+15017</f>
        <v>60346</v>
      </c>
      <c r="AB39" s="6">
        <f>13449+9957</f>
        <v>23406</v>
      </c>
      <c r="AC39" s="6">
        <f t="shared" si="7"/>
        <v>83752</v>
      </c>
      <c r="AD39" s="6"/>
      <c r="AE39" s="7">
        <f t="shared" si="8"/>
        <v>0.72053204699589268</v>
      </c>
      <c r="AF39" s="7">
        <f t="shared" si="9"/>
        <v>0.27946795300410737</v>
      </c>
      <c r="AH39" s="4">
        <f>+($F39*T39)+($Z39*AE39)+($L39*'Low Income Pop'!G39)</f>
        <v>183216.1499909831</v>
      </c>
      <c r="AI39" s="4">
        <f>+($F39*U39)+($Z39*AF39)+($L39*'Low Income Pop'!H39)</f>
        <v>116777.3925182993</v>
      </c>
      <c r="AJ39" s="4">
        <f>+($F39*V39)+($L39*'Low Income Pop'!I39)</f>
        <v>280158.37559419248</v>
      </c>
      <c r="AK39" s="4">
        <f>+($F39*W39)+($L39*'Low Income Pop'!J39)</f>
        <v>229174.20113652502</v>
      </c>
    </row>
    <row r="40" spans="1:37" x14ac:dyDescent="0.2">
      <c r="A40" s="17" t="s">
        <v>17</v>
      </c>
      <c r="B40" s="4">
        <v>1253656</v>
      </c>
      <c r="C40" s="4">
        <v>815221</v>
      </c>
      <c r="D40" s="29">
        <v>128.15</v>
      </c>
      <c r="E40" s="4">
        <f t="shared" si="0"/>
        <v>-313411.71345000004</v>
      </c>
      <c r="F40" s="4">
        <f t="shared" si="1"/>
        <v>940244.28654999996</v>
      </c>
      <c r="H40" s="101">
        <v>23573</v>
      </c>
      <c r="I40" s="20">
        <v>53374</v>
      </c>
      <c r="J40" s="102">
        <f t="shared" si="2"/>
        <v>76947</v>
      </c>
      <c r="K40" s="20"/>
      <c r="L40" s="4">
        <v>28994</v>
      </c>
      <c r="M40" s="6">
        <f t="shared" si="3"/>
        <v>1046185.28655</v>
      </c>
      <c r="N40" s="6"/>
      <c r="O40" s="6">
        <v>90</v>
      </c>
      <c r="P40" s="6">
        <v>206</v>
      </c>
      <c r="Q40" s="7">
        <f t="shared" si="4"/>
        <v>0.30405405405405406</v>
      </c>
      <c r="R40" s="7">
        <f t="shared" si="5"/>
        <v>0.69594594594594594</v>
      </c>
      <c r="S40" s="6"/>
      <c r="T40" s="68">
        <f>+Q40*'Low Income Pop'!O40</f>
        <v>0.17923831919965519</v>
      </c>
      <c r="U40" s="68">
        <f>+Q40*'Low Income Pop'!P40</f>
        <v>0.12481573485439885</v>
      </c>
      <c r="V40" s="68">
        <f>+R40*'Low Income Pop'!S40</f>
        <v>0.37796150906690751</v>
      </c>
      <c r="W40" s="68">
        <f>+R40*'Low Income Pop'!T40</f>
        <v>0.31798443687903838</v>
      </c>
      <c r="X40" s="110"/>
      <c r="Y40" s="16">
        <v>0.38100000000000001</v>
      </c>
      <c r="Z40" s="4">
        <f t="shared" si="6"/>
        <v>47630.192999999999</v>
      </c>
      <c r="AA40" s="106"/>
      <c r="AB40" s="106"/>
      <c r="AC40" s="6">
        <f t="shared" si="7"/>
        <v>0</v>
      </c>
      <c r="AD40" s="6"/>
      <c r="AE40" s="107">
        <v>0.73</v>
      </c>
      <c r="AF40" s="107">
        <v>0.27</v>
      </c>
      <c r="AH40" s="4">
        <f>+($F40*T40)+($Z40*AE40)+($L40*'Low Income Pop'!G40)</f>
        <v>209859.02626789169</v>
      </c>
      <c r="AI40" s="4">
        <f>+($F40*U40)+($Z40*AF40)+($L40*'Low Income Pop'!H40)</f>
        <v>134786.4258690695</v>
      </c>
      <c r="AJ40" s="4">
        <f>+($F40*V40)+($L40*'Low Income Pop'!I40)</f>
        <v>365077.82156157738</v>
      </c>
      <c r="AK40" s="4">
        <f>+($F40*W40)+($L40*'Low Income Pop'!J40)</f>
        <v>307145.20585146127</v>
      </c>
    </row>
    <row r="41" spans="1:37" x14ac:dyDescent="0.2">
      <c r="A41" s="17" t="s">
        <v>18</v>
      </c>
      <c r="B41" s="4">
        <v>2772898</v>
      </c>
      <c r="C41" s="4">
        <v>1799209</v>
      </c>
      <c r="D41" s="29">
        <v>128.43</v>
      </c>
      <c r="E41" s="4">
        <f t="shared" si="0"/>
        <v>-693217.23561000009</v>
      </c>
      <c r="F41" s="4">
        <f t="shared" si="1"/>
        <v>2079680.7643899999</v>
      </c>
      <c r="H41" s="101">
        <v>56144</v>
      </c>
      <c r="I41" s="20">
        <v>147381</v>
      </c>
      <c r="J41" s="102">
        <f t="shared" si="2"/>
        <v>203525</v>
      </c>
      <c r="K41" s="20"/>
      <c r="L41" s="4">
        <v>90488</v>
      </c>
      <c r="M41" s="6">
        <f t="shared" si="3"/>
        <v>2373693.7643900001</v>
      </c>
      <c r="N41" s="6"/>
      <c r="O41" s="6">
        <v>223</v>
      </c>
      <c r="P41" s="6">
        <v>490</v>
      </c>
      <c r="Q41" s="7">
        <f t="shared" si="4"/>
        <v>0.31276297335203368</v>
      </c>
      <c r="R41" s="7">
        <f t="shared" si="5"/>
        <v>0.68723702664796638</v>
      </c>
      <c r="S41" s="6"/>
      <c r="T41" s="68">
        <f>+Q41*'Low Income Pop'!O41</f>
        <v>0.18609645272503803</v>
      </c>
      <c r="U41" s="68">
        <f>+Q41*'Low Income Pop'!P41</f>
        <v>0.12666652062699568</v>
      </c>
      <c r="V41" s="68">
        <f>+R41*'Low Income Pop'!S41</f>
        <v>0.35230266504736329</v>
      </c>
      <c r="W41" s="68">
        <f>+R41*'Low Income Pop'!T41</f>
        <v>0.33493436160060308</v>
      </c>
      <c r="X41" s="110"/>
      <c r="Y41" s="16">
        <v>0.39100000000000001</v>
      </c>
      <c r="Z41" s="4">
        <f t="shared" si="6"/>
        <v>123946.72499999999</v>
      </c>
      <c r="AA41" s="6">
        <f>66495+50269+36180</f>
        <v>152944</v>
      </c>
      <c r="AB41" s="6">
        <f>33053+24255+3</f>
        <v>57311</v>
      </c>
      <c r="AC41" s="6">
        <f t="shared" si="7"/>
        <v>210255</v>
      </c>
      <c r="AD41" s="6"/>
      <c r="AE41" s="7">
        <f t="shared" si="8"/>
        <v>0.7274214644122613</v>
      </c>
      <c r="AF41" s="7">
        <f t="shared" si="9"/>
        <v>0.2725785355877387</v>
      </c>
      <c r="AH41" s="4">
        <f>+($F41*T41)+($Z41*AE41)+($L41*'Low Income Pop'!G41)</f>
        <v>496727.71488538274</v>
      </c>
      <c r="AI41" s="4">
        <f>+($F41*U41)+($Z41*AF41)+($L41*'Low Income Pop'!H41)</f>
        <v>310514.43999885628</v>
      </c>
      <c r="AJ41" s="4">
        <f>+($F41*V41)+($L41*'Low Income Pop'!I41)</f>
        <v>762225.2847598216</v>
      </c>
      <c r="AK41" s="4">
        <f>+($F41*W41)+($L41*'Low Income Pop'!J41)</f>
        <v>724648.04974593944</v>
      </c>
    </row>
    <row r="42" spans="1:37" x14ac:dyDescent="0.2">
      <c r="A42" s="17" t="s">
        <v>19</v>
      </c>
      <c r="B42" s="4">
        <v>289246</v>
      </c>
      <c r="C42" s="4">
        <v>172846</v>
      </c>
      <c r="D42" s="29">
        <v>139.44999999999999</v>
      </c>
      <c r="E42" s="4">
        <f t="shared" si="0"/>
        <v>-72310.124100000001</v>
      </c>
      <c r="F42" s="4">
        <f t="shared" si="1"/>
        <v>216935.87589999998</v>
      </c>
      <c r="H42" s="101">
        <v>5634</v>
      </c>
      <c r="I42" s="20">
        <v>14022</v>
      </c>
      <c r="J42" s="102">
        <f t="shared" si="2"/>
        <v>19656</v>
      </c>
      <c r="K42" s="20"/>
      <c r="L42" s="4">
        <v>7238</v>
      </c>
      <c r="M42" s="6">
        <f t="shared" si="3"/>
        <v>243829.87589999998</v>
      </c>
      <c r="N42" s="6"/>
      <c r="O42" s="6">
        <v>21</v>
      </c>
      <c r="P42" s="6">
        <v>41</v>
      </c>
      <c r="Q42" s="7">
        <f t="shared" si="4"/>
        <v>0.33870967741935482</v>
      </c>
      <c r="R42" s="7">
        <f t="shared" si="5"/>
        <v>0.66129032258064513</v>
      </c>
      <c r="S42" s="6"/>
      <c r="T42" s="68">
        <f>+Q42*'Low Income Pop'!O42</f>
        <v>0.2000224941831448</v>
      </c>
      <c r="U42" s="68">
        <f>+Q42*'Low Income Pop'!P42</f>
        <v>0.13868718323621002</v>
      </c>
      <c r="V42" s="68">
        <f>+R42*'Low Income Pop'!S42</f>
        <v>0.3125581314487878</v>
      </c>
      <c r="W42" s="68">
        <f>+R42*'Low Income Pop'!T42</f>
        <v>0.34873219113185733</v>
      </c>
      <c r="X42" s="110"/>
      <c r="Y42" s="16">
        <v>0.45700000000000002</v>
      </c>
      <c r="Z42" s="4">
        <f t="shared" si="6"/>
        <v>10673.207999999999</v>
      </c>
      <c r="AA42" s="6">
        <f>6611+4315+3727</f>
        <v>14653</v>
      </c>
      <c r="AB42" s="6">
        <f>3605+2783</f>
        <v>6388</v>
      </c>
      <c r="AC42" s="6">
        <f t="shared" si="7"/>
        <v>21041</v>
      </c>
      <c r="AD42" s="6"/>
      <c r="AE42" s="7">
        <f t="shared" si="8"/>
        <v>0.6964022622498931</v>
      </c>
      <c r="AF42" s="7">
        <f t="shared" si="9"/>
        <v>0.30359773775010696</v>
      </c>
      <c r="AH42" s="4">
        <f>+($F42*T42)+($Z42*AE42)+($L42*'Low Income Pop'!G42)</f>
        <v>52432.388402521734</v>
      </c>
      <c r="AI42" s="4">
        <f>+($F42*U42)+($Z42*AF42)+($L42*'Low Income Pop'!H42)</f>
        <v>34441.15139920621</v>
      </c>
      <c r="AJ42" s="4">
        <f>+($F42*V42)+($L42*'Low Income Pop'!I42)</f>
        <v>69939.530139684488</v>
      </c>
      <c r="AK42" s="4">
        <f>+($F42*W42)+($L42*'Low Income Pop'!J42)</f>
        <v>78034.013958587529</v>
      </c>
    </row>
    <row r="43" spans="1:37" x14ac:dyDescent="0.2">
      <c r="A43" s="17" t="s">
        <v>20</v>
      </c>
      <c r="B43" s="4">
        <v>1371335</v>
      </c>
      <c r="C43" s="4">
        <v>869801</v>
      </c>
      <c r="D43" s="29">
        <v>131.38</v>
      </c>
      <c r="E43" s="4">
        <f t="shared" si="0"/>
        <v>-342823.36614</v>
      </c>
      <c r="F43" s="4">
        <f t="shared" si="1"/>
        <v>1028511.6338599999</v>
      </c>
      <c r="H43" s="101">
        <v>27072</v>
      </c>
      <c r="I43" s="20">
        <v>72988</v>
      </c>
      <c r="J43" s="102">
        <f t="shared" si="2"/>
        <v>100060</v>
      </c>
      <c r="K43" s="20"/>
      <c r="L43" s="4">
        <v>26553</v>
      </c>
      <c r="M43" s="6">
        <f t="shared" si="3"/>
        <v>1155124.6338599999</v>
      </c>
      <c r="N43" s="6"/>
      <c r="O43" s="6">
        <v>124</v>
      </c>
      <c r="P43" s="6">
        <v>252</v>
      </c>
      <c r="Q43" s="7">
        <f t="shared" si="4"/>
        <v>0.32978723404255317</v>
      </c>
      <c r="R43" s="7">
        <f t="shared" si="5"/>
        <v>0.67021276595744683</v>
      </c>
      <c r="S43" s="6"/>
      <c r="T43" s="68">
        <f>+Q43*'Low Income Pop'!O43</f>
        <v>0.19393960754862929</v>
      </c>
      <c r="U43" s="68">
        <f>+Q43*'Low Income Pop'!P43</f>
        <v>0.13584762649392387</v>
      </c>
      <c r="V43" s="68">
        <f>+R43*'Low Income Pop'!S43</f>
        <v>0.37174473136929675</v>
      </c>
      <c r="W43" s="68">
        <f>+R43*'Low Income Pop'!T43</f>
        <v>0.29846803458815008</v>
      </c>
      <c r="X43" s="110"/>
      <c r="Y43" s="16">
        <v>0.42099999999999999</v>
      </c>
      <c r="Z43" s="4">
        <f t="shared" si="6"/>
        <v>57934.74</v>
      </c>
      <c r="AA43" s="6">
        <f>37810+25741+17038</f>
        <v>80589</v>
      </c>
      <c r="AB43" s="6">
        <f>14896+10260+17</f>
        <v>25173</v>
      </c>
      <c r="AC43" s="6">
        <f t="shared" si="7"/>
        <v>105762</v>
      </c>
      <c r="AD43" s="6"/>
      <c r="AE43" s="7">
        <f t="shared" si="8"/>
        <v>0.76198445566460549</v>
      </c>
      <c r="AF43" s="7">
        <f t="shared" si="9"/>
        <v>0.23801554433539457</v>
      </c>
      <c r="AH43" s="4">
        <f>+($F43*T43)+($Z43*AE43)+($L43*'Low Income Pop'!G43)</f>
        <v>249627.61622930609</v>
      </c>
      <c r="AI43" s="4">
        <f>+($F43*U43)+($Z43*AF43)+($L43*'Low Income Pop'!H43)</f>
        <v>157722.19194093929</v>
      </c>
      <c r="AJ43" s="4">
        <f>+($F43*V43)+($L43*'Low Income Pop'!I43)</f>
        <v>391400.34562524891</v>
      </c>
      <c r="AK43" s="4">
        <f>+($F43*W43)+($L43*'Low Income Pop'!J43)</f>
        <v>314249.2200645057</v>
      </c>
    </row>
    <row r="44" spans="1:37" x14ac:dyDescent="0.2">
      <c r="A44" s="17" t="s">
        <v>21</v>
      </c>
      <c r="B44" s="4">
        <v>165489</v>
      </c>
      <c r="C44" s="4">
        <v>103846</v>
      </c>
      <c r="D44" s="29">
        <v>132.80000000000001</v>
      </c>
      <c r="E44" s="4">
        <f t="shared" si="0"/>
        <v>-41372.246400000004</v>
      </c>
      <c r="F44" s="4">
        <f t="shared" si="1"/>
        <v>124116.7536</v>
      </c>
      <c r="H44" s="101">
        <v>6284</v>
      </c>
      <c r="I44" s="20">
        <v>12322</v>
      </c>
      <c r="J44" s="102">
        <f t="shared" si="2"/>
        <v>18606</v>
      </c>
      <c r="K44" s="20"/>
      <c r="L44" s="4">
        <v>8295</v>
      </c>
      <c r="M44" s="6">
        <f t="shared" si="3"/>
        <v>151017.7536</v>
      </c>
      <c r="N44" s="6"/>
      <c r="O44" s="6">
        <v>18</v>
      </c>
      <c r="P44" s="6">
        <v>30</v>
      </c>
      <c r="Q44" s="7">
        <f t="shared" si="4"/>
        <v>0.375</v>
      </c>
      <c r="R44" s="7">
        <f t="shared" si="5"/>
        <v>0.625</v>
      </c>
      <c r="S44" s="6"/>
      <c r="T44" s="68">
        <f>+Q44*'Low Income Pop'!O44</f>
        <v>0.22243336373771155</v>
      </c>
      <c r="U44" s="68">
        <f>+Q44*'Low Income Pop'!P44</f>
        <v>0.15256663626228845</v>
      </c>
      <c r="V44" s="68">
        <f>+R44*'Low Income Pop'!S44</f>
        <v>0.36240966001628661</v>
      </c>
      <c r="W44" s="68">
        <f>+R44*'Low Income Pop'!T44</f>
        <v>0.26259033998371334</v>
      </c>
      <c r="X44" s="110"/>
      <c r="Y44" s="16">
        <v>0.46100000000000002</v>
      </c>
      <c r="Z44" s="4">
        <f t="shared" si="6"/>
        <v>10028.633999999998</v>
      </c>
      <c r="AA44" s="106"/>
      <c r="AB44" s="106"/>
      <c r="AC44" s="6">
        <f t="shared" si="7"/>
        <v>0</v>
      </c>
      <c r="AD44" s="6"/>
      <c r="AE44" s="107">
        <v>0.73</v>
      </c>
      <c r="AF44" s="107">
        <v>0.27</v>
      </c>
      <c r="AH44" s="4">
        <f>+($F44*T44)+($Z44*AE44)+($L44*'Low Income Pop'!G44)</f>
        <v>37079.006000005858</v>
      </c>
      <c r="AI44" s="4">
        <f>+($F44*U44)+($Z44*AF44)+($L44*'Low Income Pop'!H44)</f>
        <v>23118.759577130117</v>
      </c>
      <c r="AJ44" s="4">
        <f>+($F44*V44)+($L44*'Low Income Pop'!I44)</f>
        <v>47688.833097846582</v>
      </c>
      <c r="AK44" s="4">
        <f>+($F44*W44)+($L44*'Low Income Pop'!J44)</f>
        <v>34553.788925017427</v>
      </c>
    </row>
    <row r="45" spans="1:37" x14ac:dyDescent="0.2">
      <c r="A45" s="17" t="s">
        <v>22</v>
      </c>
      <c r="B45" s="4">
        <v>2089053</v>
      </c>
      <c r="C45" s="4">
        <v>1316810</v>
      </c>
      <c r="D45" s="29">
        <v>132.19999999999999</v>
      </c>
      <c r="E45" s="4">
        <f t="shared" si="0"/>
        <v>-522246.84599999996</v>
      </c>
      <c r="F45" s="4">
        <f t="shared" si="1"/>
        <v>1566806.1540000001</v>
      </c>
      <c r="H45" s="101">
        <v>36277</v>
      </c>
      <c r="I45" s="20">
        <v>81720</v>
      </c>
      <c r="J45" s="102">
        <f t="shared" si="2"/>
        <v>117997</v>
      </c>
      <c r="K45" s="20"/>
      <c r="L45" s="4">
        <v>54525</v>
      </c>
      <c r="M45" s="6">
        <f t="shared" si="3"/>
        <v>1739328.1540000001</v>
      </c>
      <c r="N45" s="6"/>
      <c r="O45" s="6">
        <v>179</v>
      </c>
      <c r="P45" s="6">
        <v>364</v>
      </c>
      <c r="Q45" s="7">
        <f t="shared" si="4"/>
        <v>0.3296500920810313</v>
      </c>
      <c r="R45" s="7">
        <f t="shared" si="5"/>
        <v>0.67034990791896865</v>
      </c>
      <c r="S45" s="6"/>
      <c r="T45" s="68">
        <f>+Q45*'Low Income Pop'!O45</f>
        <v>0.19505999864113147</v>
      </c>
      <c r="U45" s="68">
        <f>+Q45*'Low Income Pop'!P45</f>
        <v>0.13459009343989983</v>
      </c>
      <c r="V45" s="68">
        <f>+R45*'Low Income Pop'!S45</f>
        <v>0.3539595517050399</v>
      </c>
      <c r="W45" s="68">
        <f>+R45*'Low Income Pop'!T45</f>
        <v>0.31639035621392875</v>
      </c>
      <c r="X45" s="110"/>
      <c r="Y45" s="16">
        <v>0.439</v>
      </c>
      <c r="Z45" s="4">
        <f t="shared" si="6"/>
        <v>66196.316999999995</v>
      </c>
      <c r="AA45" s="106"/>
      <c r="AB45" s="106"/>
      <c r="AC45" s="6">
        <f t="shared" si="7"/>
        <v>0</v>
      </c>
      <c r="AD45" s="6"/>
      <c r="AE45" s="107">
        <v>0.73</v>
      </c>
      <c r="AF45" s="107">
        <v>0.27</v>
      </c>
      <c r="AH45" s="4">
        <f>+($F45*T45)+($Z45*AE45)+($L45*'Low Income Pop'!G45)</f>
        <v>365743.77208159637</v>
      </c>
      <c r="AI45" s="4">
        <f>+($F45*U45)+($Z45*AF45)+($L45*'Low Income Pop'!H45)</f>
        <v>236890.99881845724</v>
      </c>
      <c r="AJ45" s="4">
        <f>+($F45*V45)+($L45*'Low Income Pop'!I45)</f>
        <v>572847.298461725</v>
      </c>
      <c r="AK45" s="4">
        <f>+($F45*W45)+($L45*'Low Income Pop'!J45)</f>
        <v>512045.40163822134</v>
      </c>
    </row>
    <row r="46" spans="1:37" x14ac:dyDescent="0.2">
      <c r="A46" s="17" t="s">
        <v>23</v>
      </c>
      <c r="B46" s="4">
        <v>6006735</v>
      </c>
      <c r="C46" s="4">
        <v>4038440</v>
      </c>
      <c r="D46" s="29">
        <v>123.95</v>
      </c>
      <c r="E46" s="4">
        <f t="shared" si="0"/>
        <v>-1501693.9140000001</v>
      </c>
      <c r="F46" s="4">
        <f t="shared" si="1"/>
        <v>4505041.0860000001</v>
      </c>
      <c r="H46" s="101">
        <v>181369</v>
      </c>
      <c r="I46" s="20">
        <v>341010</v>
      </c>
      <c r="J46" s="102">
        <f t="shared" si="2"/>
        <v>522379</v>
      </c>
      <c r="K46" s="20"/>
      <c r="L46" s="4">
        <v>271131</v>
      </c>
      <c r="M46" s="6">
        <f t="shared" si="3"/>
        <v>5298551.0860000001</v>
      </c>
      <c r="N46" s="6"/>
      <c r="O46" s="6">
        <v>739</v>
      </c>
      <c r="P46" s="6">
        <v>1467</v>
      </c>
      <c r="Q46" s="7">
        <f t="shared" si="4"/>
        <v>0.33499546690843157</v>
      </c>
      <c r="R46" s="7">
        <f t="shared" si="5"/>
        <v>0.66500453309156848</v>
      </c>
      <c r="S46" s="6"/>
      <c r="T46" s="68">
        <f>+Q46*'Low Income Pop'!O46</f>
        <v>0.1995993991255342</v>
      </c>
      <c r="U46" s="68">
        <f>+Q46*'Low Income Pop'!P46</f>
        <v>0.13539606778289737</v>
      </c>
      <c r="V46" s="68">
        <f>+R46*'Low Income Pop'!S46</f>
        <v>0.35996451902870424</v>
      </c>
      <c r="W46" s="68">
        <f>+R46*'Low Income Pop'!T46</f>
        <v>0.30504001406286418</v>
      </c>
      <c r="X46" s="110"/>
      <c r="Y46" s="16">
        <v>0.39400000000000002</v>
      </c>
      <c r="Z46" s="4">
        <f t="shared" si="6"/>
        <v>316561.674</v>
      </c>
      <c r="AA46" s="6">
        <f>247015+183782+128958</f>
        <v>559755</v>
      </c>
      <c r="AB46" s="6">
        <f>120589+89236+67</f>
        <v>209892</v>
      </c>
      <c r="AC46" s="6">
        <f t="shared" si="7"/>
        <v>769647</v>
      </c>
      <c r="AD46" s="6"/>
      <c r="AE46" s="7">
        <f t="shared" si="8"/>
        <v>0.72728796448241861</v>
      </c>
      <c r="AF46" s="7">
        <f t="shared" si="9"/>
        <v>0.27271203551758144</v>
      </c>
      <c r="AH46" s="4">
        <f>+($F46*T46)+($Z46*AE46)+($L46*'Low Income Pop'!G46)</f>
        <v>1189495.7273886153</v>
      </c>
      <c r="AI46" s="4">
        <f>+($F46*U46)+($Z46*AF46)+($L46*'Low Income Pop'!H46)</f>
        <v>737036.57103403134</v>
      </c>
      <c r="AJ46" s="4">
        <f>+($F46*V46)+($L46*'Low Income Pop'!I46)</f>
        <v>1713853.2589637816</v>
      </c>
      <c r="AK46" s="4">
        <f>+($F46*W46)+($L46*'Low Income Pop'!J46)</f>
        <v>1452348.2026135719</v>
      </c>
    </row>
    <row r="47" spans="1:37" x14ac:dyDescent="0.2">
      <c r="A47" s="17" t="s">
        <v>24</v>
      </c>
      <c r="B47" s="4">
        <v>404542</v>
      </c>
      <c r="C47" s="4">
        <v>276890</v>
      </c>
      <c r="D47" s="29">
        <v>121.75</v>
      </c>
      <c r="E47" s="4">
        <f t="shared" si="0"/>
        <v>-101134.07250000001</v>
      </c>
      <c r="F47" s="4">
        <f t="shared" si="1"/>
        <v>303407.92749999999</v>
      </c>
      <c r="H47" s="101">
        <v>16025</v>
      </c>
      <c r="I47" s="20">
        <v>29907</v>
      </c>
      <c r="J47" s="102">
        <f t="shared" si="2"/>
        <v>45932</v>
      </c>
      <c r="K47" s="20"/>
      <c r="L47" s="4">
        <v>24167</v>
      </c>
      <c r="M47" s="6">
        <f t="shared" si="3"/>
        <v>373506.92749999999</v>
      </c>
      <c r="N47" s="6"/>
      <c r="O47" s="6">
        <v>49</v>
      </c>
      <c r="P47" s="6">
        <v>94</v>
      </c>
      <c r="Q47" s="7">
        <f t="shared" si="4"/>
        <v>0.34265734265734266</v>
      </c>
      <c r="R47" s="7">
        <f t="shared" si="5"/>
        <v>0.65734265734265729</v>
      </c>
      <c r="S47" s="6"/>
      <c r="T47" s="68">
        <f>+Q47*'Low Income Pop'!O47</f>
        <v>0.20234282332107406</v>
      </c>
      <c r="U47" s="68">
        <f>+Q47*'Low Income Pop'!P47</f>
        <v>0.14031451933626859</v>
      </c>
      <c r="V47" s="68">
        <f>+R47*'Low Income Pop'!S47</f>
        <v>0.33702580300675727</v>
      </c>
      <c r="W47" s="68">
        <f>+R47*'Low Income Pop'!T47</f>
        <v>0.32031685433590007</v>
      </c>
      <c r="X47" s="110"/>
      <c r="Y47" s="16">
        <v>0.38800000000000001</v>
      </c>
      <c r="Z47" s="4">
        <f t="shared" si="6"/>
        <v>28110.383999999998</v>
      </c>
      <c r="AA47" s="6">
        <f>16735+14213+9978</f>
        <v>40926</v>
      </c>
      <c r="AB47" s="6">
        <f>9352+6908+4</f>
        <v>16264</v>
      </c>
      <c r="AC47" s="6">
        <f t="shared" si="7"/>
        <v>57190</v>
      </c>
      <c r="AD47" s="6"/>
      <c r="AE47" s="7">
        <f t="shared" si="8"/>
        <v>0.71561461794019932</v>
      </c>
      <c r="AF47" s="7">
        <f t="shared" si="9"/>
        <v>0.28438538205980068</v>
      </c>
      <c r="AH47" s="4">
        <f>+($F47*T47)+($Z47*AE47)+($L47*'Low Income Pop'!G47)</f>
        <v>86986.646921462234</v>
      </c>
      <c r="AI47" s="4">
        <f>+($F47*U47)+($Z47*AF47)+($L47*'Low Income Pop'!H47)</f>
        <v>54365.455680920386</v>
      </c>
      <c r="AJ47" s="4">
        <f>+($F47*V47)+($L47*'Low Income Pop'!I47)</f>
        <v>109890.66513917064</v>
      </c>
      <c r="AK47" s="4">
        <f>+($F47*W47)+($L47*'Low Income Pop'!J47)</f>
        <v>104442.54375844673</v>
      </c>
    </row>
    <row r="48" spans="1:37" x14ac:dyDescent="0.2">
      <c r="A48" s="17" t="s">
        <v>25</v>
      </c>
      <c r="B48" s="4">
        <v>141256</v>
      </c>
      <c r="C48" s="4">
        <v>96579</v>
      </c>
      <c r="D48" s="29">
        <v>121.88</v>
      </c>
      <c r="E48" s="4">
        <f t="shared" si="0"/>
        <v>-35313.145560000004</v>
      </c>
      <c r="F48" s="4">
        <f t="shared" si="1"/>
        <v>105942.85444</v>
      </c>
      <c r="H48" s="101">
        <v>4274</v>
      </c>
      <c r="I48" s="20">
        <v>8992</v>
      </c>
      <c r="J48" s="102">
        <f t="shared" si="2"/>
        <v>13266</v>
      </c>
      <c r="K48" s="20"/>
      <c r="L48" s="4">
        <v>4581</v>
      </c>
      <c r="M48" s="6">
        <f t="shared" si="3"/>
        <v>123789.85444</v>
      </c>
      <c r="N48" s="6"/>
      <c r="O48" s="6">
        <v>11</v>
      </c>
      <c r="P48" s="6">
        <v>21</v>
      </c>
      <c r="Q48" s="7">
        <f t="shared" si="4"/>
        <v>0.34375</v>
      </c>
      <c r="R48" s="7">
        <f t="shared" si="5"/>
        <v>0.65625</v>
      </c>
      <c r="S48" s="6"/>
      <c r="T48" s="68">
        <f>+Q48*'Low Income Pop'!O48</f>
        <v>0.20143405360243766</v>
      </c>
      <c r="U48" s="68">
        <f>+Q48*'Low Income Pop'!P48</f>
        <v>0.14231594639756234</v>
      </c>
      <c r="V48" s="68">
        <f>+R48*'Low Income Pop'!S48</f>
        <v>0.35991813602015116</v>
      </c>
      <c r="W48" s="68">
        <f>+R48*'Low Income Pop'!T48</f>
        <v>0.29633186397984884</v>
      </c>
      <c r="X48" s="110"/>
      <c r="Y48" s="16">
        <v>0.39800000000000002</v>
      </c>
      <c r="Z48" s="4">
        <f t="shared" si="6"/>
        <v>7986.1319999999996</v>
      </c>
      <c r="AA48" s="6">
        <f>3013+3298+2312</f>
        <v>8623</v>
      </c>
      <c r="AB48" s="6">
        <f>2220+1600+44</f>
        <v>3864</v>
      </c>
      <c r="AC48" s="6">
        <f t="shared" si="7"/>
        <v>12487</v>
      </c>
      <c r="AD48" s="6"/>
      <c r="AE48" s="7">
        <f t="shared" si="8"/>
        <v>0.69055818050772799</v>
      </c>
      <c r="AF48" s="7">
        <f t="shared" si="9"/>
        <v>0.30944181949227195</v>
      </c>
      <c r="AH48" s="4">
        <f>+($F48*T48)+($Z48*AE48)+($L48*'Low Income Pop'!G48)</f>
        <v>27840.644897604427</v>
      </c>
      <c r="AI48" s="4">
        <f>+($F48*U48)+($Z48*AF48)+($L48*'Low Income Pop'!H48)</f>
        <v>18244.698864614958</v>
      </c>
      <c r="AJ48" s="4">
        <f>+($F48*V48)+($L48*'Low Income Pop'!I48)</f>
        <v>39721.055077352059</v>
      </c>
      <c r="AK48" s="4">
        <f>+($F48*W48)+($L48*'Low Income Pop'!J48)</f>
        <v>32703.587600428556</v>
      </c>
    </row>
    <row r="49" spans="1:37" x14ac:dyDescent="0.2">
      <c r="A49" s="17" t="s">
        <v>26</v>
      </c>
      <c r="B49" s="4">
        <v>1403721</v>
      </c>
      <c r="C49" s="4">
        <v>913878</v>
      </c>
      <c r="D49" s="29">
        <v>128</v>
      </c>
      <c r="E49" s="4">
        <f t="shared" si="0"/>
        <v>-350929.152</v>
      </c>
      <c r="F49" s="4">
        <f t="shared" si="1"/>
        <v>1052791.848</v>
      </c>
      <c r="H49" s="101">
        <v>35279</v>
      </c>
      <c r="I49" s="20">
        <v>62805</v>
      </c>
      <c r="J49" s="102">
        <f t="shared" si="2"/>
        <v>98084</v>
      </c>
      <c r="K49" s="20"/>
      <c r="L49" s="4">
        <v>42693</v>
      </c>
      <c r="M49" s="6">
        <f t="shared" si="3"/>
        <v>1193568.848</v>
      </c>
      <c r="N49" s="6"/>
      <c r="O49" s="6">
        <v>171</v>
      </c>
      <c r="P49" s="6">
        <v>228</v>
      </c>
      <c r="Q49" s="7">
        <f t="shared" si="4"/>
        <v>0.42857142857142855</v>
      </c>
      <c r="R49" s="7">
        <f t="shared" si="5"/>
        <v>0.5714285714285714</v>
      </c>
      <c r="S49" s="6"/>
      <c r="T49" s="68">
        <f>+Q49*'Low Income Pop'!O49</f>
        <v>0.25596529953067015</v>
      </c>
      <c r="U49" s="68">
        <f>+Q49*'Low Income Pop'!P49</f>
        <v>0.17260612904075842</v>
      </c>
      <c r="V49" s="68">
        <f>+R49*'Low Income Pop'!S49</f>
        <v>0.30019616361888962</v>
      </c>
      <c r="W49" s="68">
        <f>+R49*'Low Income Pop'!T49</f>
        <v>0.27123240780968177</v>
      </c>
      <c r="X49" s="110"/>
      <c r="Y49" s="16">
        <v>0.45800000000000002</v>
      </c>
      <c r="Z49" s="4">
        <f t="shared" si="6"/>
        <v>53161.528000000006</v>
      </c>
      <c r="AA49" s="6">
        <f>41954+29907+21325</f>
        <v>93186</v>
      </c>
      <c r="AB49" s="6">
        <f>18805+13562+46</f>
        <v>32413</v>
      </c>
      <c r="AC49" s="6">
        <f t="shared" si="7"/>
        <v>125599</v>
      </c>
      <c r="AD49" s="6"/>
      <c r="AE49" s="7">
        <f t="shared" si="8"/>
        <v>0.74193265869951197</v>
      </c>
      <c r="AF49" s="7">
        <f t="shared" si="9"/>
        <v>0.25806734130048808</v>
      </c>
      <c r="AH49" s="4">
        <f>+($F49*T49)+($Z49*AE49)+($L49*'Low Income Pop'!G49)</f>
        <v>318546.01099912857</v>
      </c>
      <c r="AI49" s="4">
        <f>+($F49*U49)+($Z49*AF49)+($L49*'Low Income Pop'!H49)</f>
        <v>201928.42068851259</v>
      </c>
      <c r="AJ49" s="4">
        <f>+($F49*V49)+($L49*'Low Income Pop'!I49)</f>
        <v>330005.91360728053</v>
      </c>
      <c r="AK49" s="4">
        <f>+($F49*W49)+($L49*'Low Income Pop'!J49)</f>
        <v>298166.03070507827</v>
      </c>
    </row>
    <row r="50" spans="1:37" x14ac:dyDescent="0.2">
      <c r="A50" s="17" t="s">
        <v>27</v>
      </c>
      <c r="B50" s="4">
        <v>1684648</v>
      </c>
      <c r="C50" s="4">
        <v>1108090</v>
      </c>
      <c r="D50" s="29">
        <v>126.69</v>
      </c>
      <c r="E50" s="4">
        <f t="shared" si="0"/>
        <v>-421151.76630000002</v>
      </c>
      <c r="F50" s="4">
        <f t="shared" si="1"/>
        <v>1263496.2337</v>
      </c>
      <c r="H50" s="101">
        <v>50606</v>
      </c>
      <c r="I50" s="20">
        <v>97569</v>
      </c>
      <c r="J50" s="102">
        <f t="shared" si="2"/>
        <v>148175</v>
      </c>
      <c r="K50" s="20"/>
      <c r="L50" s="4">
        <v>38725</v>
      </c>
      <c r="M50" s="6">
        <f t="shared" si="3"/>
        <v>1450396.2337</v>
      </c>
      <c r="N50" s="6"/>
      <c r="O50" s="6">
        <v>144</v>
      </c>
      <c r="P50" s="6">
        <v>297</v>
      </c>
      <c r="Q50" s="7">
        <f t="shared" si="4"/>
        <v>0.32653061224489793</v>
      </c>
      <c r="R50" s="7">
        <f t="shared" si="5"/>
        <v>0.67346938775510201</v>
      </c>
      <c r="S50" s="6"/>
      <c r="T50" s="68">
        <f>+Q50*'Low Income Pop'!O50</f>
        <v>0.19459413955334295</v>
      </c>
      <c r="U50" s="68">
        <f>+Q50*'Low Income Pop'!P50</f>
        <v>0.13193647269155495</v>
      </c>
      <c r="V50" s="68">
        <f>+R50*'Low Income Pop'!S50</f>
        <v>0.35756022760738065</v>
      </c>
      <c r="W50" s="68">
        <f>+R50*'Low Income Pop'!T50</f>
        <v>0.31590916014772136</v>
      </c>
      <c r="X50" s="110"/>
      <c r="Y50" s="16">
        <v>0.52500000000000002</v>
      </c>
      <c r="Z50" s="4">
        <f t="shared" si="6"/>
        <v>70383.125</v>
      </c>
      <c r="AA50" s="6">
        <f>45107+35078+30652</f>
        <v>110837</v>
      </c>
      <c r="AB50" s="6">
        <f>29153+23854+2</f>
        <v>53009</v>
      </c>
      <c r="AC50" s="6">
        <f t="shared" si="7"/>
        <v>163846</v>
      </c>
      <c r="AD50" s="6"/>
      <c r="AE50" s="7">
        <f t="shared" si="8"/>
        <v>0.67647058823529416</v>
      </c>
      <c r="AF50" s="7">
        <f t="shared" si="9"/>
        <v>0.3235294117647059</v>
      </c>
      <c r="AH50" s="4">
        <f>+($F50*T50)+($Z50*AE50)+($L50*'Low Income Pop'!G50)</f>
        <v>302072.98796077317</v>
      </c>
      <c r="AI50" s="4">
        <f>+($F50*U50)+($Z50*AF50)+($L50*'Low Income Pop'!H50)</f>
        <v>195297.63608264038</v>
      </c>
      <c r="AJ50" s="4">
        <f>+($F50*V50)+($L50*'Low Income Pop'!I50)</f>
        <v>464681.51197878411</v>
      </c>
      <c r="AK50" s="4">
        <f>+($F50*W50)+($L50*'Low Income Pop'!J50)</f>
        <v>410552.22267780226</v>
      </c>
    </row>
    <row r="51" spans="1:37" x14ac:dyDescent="0.2">
      <c r="A51" s="17" t="s">
        <v>28</v>
      </c>
      <c r="B51" s="4">
        <v>500402</v>
      </c>
      <c r="C51" s="4">
        <v>346833</v>
      </c>
      <c r="D51" s="29">
        <v>120.23</v>
      </c>
      <c r="E51" s="4">
        <f t="shared" si="0"/>
        <v>-125099.19477</v>
      </c>
      <c r="F51" s="4">
        <f t="shared" si="1"/>
        <v>375302.80523</v>
      </c>
      <c r="H51" s="101">
        <v>11808</v>
      </c>
      <c r="I51" s="20">
        <v>25290</v>
      </c>
      <c r="J51" s="102">
        <f t="shared" si="2"/>
        <v>37098</v>
      </c>
      <c r="K51" s="20"/>
      <c r="L51" s="4">
        <v>14020</v>
      </c>
      <c r="M51" s="6">
        <f t="shared" si="3"/>
        <v>426420.80523</v>
      </c>
      <c r="N51" s="6"/>
      <c r="O51" s="6">
        <v>41</v>
      </c>
      <c r="P51" s="6">
        <v>88</v>
      </c>
      <c r="Q51" s="7">
        <f t="shared" si="4"/>
        <v>0.31782945736434109</v>
      </c>
      <c r="R51" s="7">
        <f t="shared" si="5"/>
        <v>0.68217054263565891</v>
      </c>
      <c r="S51" s="6"/>
      <c r="T51" s="68">
        <f>+Q51*'Low Income Pop'!O51</f>
        <v>0.18838929347941766</v>
      </c>
      <c r="U51" s="68">
        <f>+Q51*'Low Income Pop'!P51</f>
        <v>0.12944016388492346</v>
      </c>
      <c r="V51" s="68">
        <f>+R51*'Low Income Pop'!S51</f>
        <v>0.33537169044840331</v>
      </c>
      <c r="W51" s="68">
        <f>+R51*'Low Income Pop'!T51</f>
        <v>0.34679885218725559</v>
      </c>
      <c r="X51" s="110"/>
      <c r="Y51" s="16">
        <v>0.48299999999999998</v>
      </c>
      <c r="Z51" s="4">
        <f t="shared" si="6"/>
        <v>19179.666000000001</v>
      </c>
      <c r="AA51" s="6">
        <f>12290+9922+6322</f>
        <v>28534</v>
      </c>
      <c r="AB51" s="6">
        <f>5812+3729</f>
        <v>9541</v>
      </c>
      <c r="AC51" s="6">
        <f t="shared" si="7"/>
        <v>38075</v>
      </c>
      <c r="AD51" s="6"/>
      <c r="AE51" s="7">
        <f t="shared" si="8"/>
        <v>0.74941562705187126</v>
      </c>
      <c r="AF51" s="7">
        <f t="shared" si="9"/>
        <v>0.25058437294812869</v>
      </c>
      <c r="AH51" s="4">
        <f>+($F51*T51)+($Z51*AE51)+($L51*'Low Income Pop'!G51)</f>
        <v>88219.034791953673</v>
      </c>
      <c r="AI51" s="4">
        <f>+($F51*U51)+($Z51*AF51)+($L51*'Low Income Pop'!H51)</f>
        <v>55544.532198828412</v>
      </c>
      <c r="AJ51" s="4">
        <f>+($F51*V51)+($L51*'Low Income Pop'!I51)</f>
        <v>130152.10756408202</v>
      </c>
      <c r="AK51" s="4">
        <f>+($F51*W51)+($L51*'Low Income Pop'!J51)</f>
        <v>134586.79667513591</v>
      </c>
    </row>
    <row r="52" spans="1:37" x14ac:dyDescent="0.2">
      <c r="A52" s="17" t="s">
        <v>29</v>
      </c>
      <c r="B52" s="4">
        <v>1167767</v>
      </c>
      <c r="C52" s="4">
        <v>835312</v>
      </c>
      <c r="D52" s="29">
        <v>116.5</v>
      </c>
      <c r="E52" s="4">
        <f t="shared" si="0"/>
        <v>-291941.54400000005</v>
      </c>
      <c r="F52" s="4">
        <f t="shared" si="1"/>
        <v>875825.45600000001</v>
      </c>
      <c r="H52" s="101">
        <v>27209</v>
      </c>
      <c r="I52" s="20">
        <v>60967</v>
      </c>
      <c r="J52" s="102">
        <f t="shared" si="2"/>
        <v>88176</v>
      </c>
      <c r="K52" s="20"/>
      <c r="L52" s="4">
        <v>36227</v>
      </c>
      <c r="M52" s="6">
        <f t="shared" si="3"/>
        <v>1000228.456</v>
      </c>
      <c r="N52" s="6"/>
      <c r="O52" s="6">
        <v>115</v>
      </c>
      <c r="P52" s="6">
        <v>238</v>
      </c>
      <c r="Q52" s="7">
        <f t="shared" si="4"/>
        <v>0.32577903682719545</v>
      </c>
      <c r="R52" s="7">
        <f t="shared" si="5"/>
        <v>0.67422096317280455</v>
      </c>
      <c r="S52" s="6"/>
      <c r="T52" s="68">
        <f>+Q52*'Low Income Pop'!O52</f>
        <v>0.19320134162074445</v>
      </c>
      <c r="U52" s="68">
        <f>+Q52*'Low Income Pop'!P52</f>
        <v>0.13257769520645102</v>
      </c>
      <c r="V52" s="68">
        <f>+R52*'Low Income Pop'!S52</f>
        <v>0.35522350598687946</v>
      </c>
      <c r="W52" s="68">
        <f>+R52*'Low Income Pop'!T52</f>
        <v>0.31899745718592509</v>
      </c>
      <c r="X52" s="110"/>
      <c r="Y52" s="16">
        <v>0.40799999999999997</v>
      </c>
      <c r="Z52" s="4">
        <f t="shared" si="6"/>
        <v>52200.19200000001</v>
      </c>
      <c r="AA52" s="6">
        <f>30842+23471+18029</f>
        <v>72342</v>
      </c>
      <c r="AB52" s="6">
        <f>16108+12117</f>
        <v>28225</v>
      </c>
      <c r="AC52" s="6">
        <f t="shared" si="7"/>
        <v>100567</v>
      </c>
      <c r="AD52" s="6"/>
      <c r="AE52" s="7">
        <f t="shared" si="8"/>
        <v>0.71934133463263294</v>
      </c>
      <c r="AF52" s="7">
        <f t="shared" si="9"/>
        <v>0.28065866536736706</v>
      </c>
      <c r="AH52" s="4">
        <f>+($F52*T52)+($Z52*AE52)+($L52*'Low Income Pop'!G52)</f>
        <v>215007.54779418543</v>
      </c>
      <c r="AI52" s="4">
        <f>+($F52*U52)+($Z52*AF52)+($L52*'Low Income Pop'!H52)</f>
        <v>136424.66855119701</v>
      </c>
      <c r="AJ52" s="4">
        <f>+($F52*V52)+($L52*'Low Income Pop'!I52)</f>
        <v>322873.70782470325</v>
      </c>
      <c r="AK52" s="4">
        <f>+($F52*W52)+($L52*'Low Income Pop'!J52)</f>
        <v>289946.72382991435</v>
      </c>
    </row>
    <row r="53" spans="1:37" x14ac:dyDescent="0.2">
      <c r="A53" s="17" t="s">
        <v>30</v>
      </c>
      <c r="B53" s="4">
        <v>51770</v>
      </c>
      <c r="C53" s="4">
        <v>34347</v>
      </c>
      <c r="D53" s="29">
        <v>125.6</v>
      </c>
      <c r="E53" s="4">
        <f t="shared" si="0"/>
        <v>-12941.949599999998</v>
      </c>
      <c r="F53" s="4">
        <f t="shared" si="1"/>
        <v>38828.0504</v>
      </c>
      <c r="H53" s="101">
        <v>4278</v>
      </c>
      <c r="I53" s="20">
        <v>5121</v>
      </c>
      <c r="J53" s="102">
        <f t="shared" si="2"/>
        <v>9399</v>
      </c>
      <c r="K53" s="20"/>
      <c r="L53" s="4">
        <v>4985</v>
      </c>
      <c r="M53" s="6">
        <f t="shared" si="3"/>
        <v>53212.0504</v>
      </c>
      <c r="N53" s="6"/>
      <c r="O53" s="6">
        <v>5</v>
      </c>
      <c r="P53" s="6">
        <v>11</v>
      </c>
      <c r="Q53" s="7">
        <f t="shared" si="4"/>
        <v>0.3125</v>
      </c>
      <c r="R53" s="7">
        <f t="shared" si="5"/>
        <v>0.6875</v>
      </c>
      <c r="S53" s="6"/>
      <c r="T53" s="68">
        <f>+Q53*'Low Income Pop'!O53</f>
        <v>0.18179771714344942</v>
      </c>
      <c r="U53" s="68">
        <f>+Q53*'Low Income Pop'!P53</f>
        <v>0.13070228285655058</v>
      </c>
      <c r="V53" s="68">
        <f>+R53*'Low Income Pop'!S53</f>
        <v>0.3908180675287356</v>
      </c>
      <c r="W53" s="68">
        <f>+R53*'Low Income Pop'!T53</f>
        <v>0.2966819324712644</v>
      </c>
      <c r="X53" s="110"/>
      <c r="Y53" s="16">
        <v>0.376</v>
      </c>
      <c r="Z53" s="4">
        <f t="shared" si="6"/>
        <v>5864.9759999999997</v>
      </c>
      <c r="AA53" s="6">
        <f>3255+2231+1681</f>
        <v>7167</v>
      </c>
      <c r="AB53" s="6">
        <f>1564+1228+4</f>
        <v>2796</v>
      </c>
      <c r="AC53" s="6">
        <f t="shared" si="7"/>
        <v>9963</v>
      </c>
      <c r="AD53" s="6"/>
      <c r="AE53" s="7">
        <f t="shared" si="8"/>
        <v>0.71936163806082509</v>
      </c>
      <c r="AF53" s="7">
        <f t="shared" si="9"/>
        <v>0.28063836193917496</v>
      </c>
      <c r="AH53" s="4">
        <f>+($F53*T53)+($Z53*AE53)+($L53*'Low Income Pop'!G53)</f>
        <v>12381.694866667143</v>
      </c>
      <c r="AI53" s="4">
        <f>+($F53*U53)+($Z53*AF53)+($L53*'Low Income Pop'!H53)</f>
        <v>7514.4256321092198</v>
      </c>
      <c r="AJ53" s="4">
        <f>+($F53*V53)+($L53*'Low Income Pop'!I53)</f>
        <v>16929.90096238381</v>
      </c>
      <c r="AK53" s="4">
        <f>+($F53*W53)+($L53*'Low Income Pop'!J53)</f>
        <v>12852.004938839827</v>
      </c>
    </row>
    <row r="54" spans="1:37" ht="16" thickBot="1" x14ac:dyDescent="0.25">
      <c r="A54" s="17"/>
      <c r="H54" s="101"/>
      <c r="I54" s="20"/>
      <c r="J54" s="102"/>
      <c r="K54" s="20"/>
    </row>
    <row r="55" spans="1:37" ht="17" thickTop="1" thickBot="1" x14ac:dyDescent="0.25">
      <c r="A55" s="18" t="s">
        <v>32</v>
      </c>
      <c r="B55" s="4">
        <f>SUM(B4:B53)</f>
        <v>74219955</v>
      </c>
      <c r="C55" s="4">
        <f>SUM(C4:C53)</f>
        <v>46399374</v>
      </c>
      <c r="D55" s="29">
        <v>133.41</v>
      </c>
      <c r="E55" s="4">
        <f t="shared" ref="E55:F55" si="10">SUM(E4:E53)</f>
        <v>-18555086.166000005</v>
      </c>
      <c r="F55" s="4">
        <f t="shared" si="10"/>
        <v>55664868.833999999</v>
      </c>
      <c r="H55" s="111">
        <f>SUM(H4:H53)</f>
        <v>1781665</v>
      </c>
      <c r="I55" s="111">
        <f t="shared" ref="I55:J55" si="11">SUM(I4:I53)</f>
        <v>4575286</v>
      </c>
      <c r="J55" s="111">
        <f t="shared" si="11"/>
        <v>6356951</v>
      </c>
      <c r="K55" s="20"/>
      <c r="L55" s="4">
        <f>SUM(L4:L53)</f>
        <v>2554436</v>
      </c>
      <c r="M55" s="4">
        <f>SUM(M4:M53)</f>
        <v>64576255.834000006</v>
      </c>
      <c r="N55" s="4"/>
      <c r="O55" s="4"/>
      <c r="P55" s="4"/>
      <c r="Q55" s="4"/>
      <c r="R55" s="4"/>
      <c r="S55" s="4"/>
      <c r="T55" s="4"/>
      <c r="U55" s="4"/>
      <c r="V55" s="4"/>
      <c r="W55" s="4"/>
      <c r="X55" s="4"/>
      <c r="Z55" s="4">
        <f>SUM(Z4:Z54)</f>
        <v>3637584.0200000009</v>
      </c>
      <c r="AA55" s="4"/>
      <c r="AB55" s="4"/>
      <c r="AC55" s="4"/>
      <c r="AD55" s="4"/>
      <c r="AE55" s="4"/>
      <c r="AF55" s="4"/>
      <c r="AH55" s="6">
        <f>SUM(AH4:AH54)</f>
        <v>13985392.215096952</v>
      </c>
      <c r="AI55" s="6">
        <f t="shared" ref="AI55:AK55" si="12">SUM(AI4:AI54)</f>
        <v>8707846.767392043</v>
      </c>
      <c r="AJ55" s="6">
        <f t="shared" si="12"/>
        <v>20817470.666218854</v>
      </c>
      <c r="AK55" s="6">
        <f t="shared" si="12"/>
        <v>18346179.205292139</v>
      </c>
    </row>
    <row r="56" spans="1:37" ht="16" thickTop="1" x14ac:dyDescent="0.2">
      <c r="AH56" s="6">
        <f>+AH55+AI55+AJ55+AK55+J55-Z55</f>
        <v>64576255.833999984</v>
      </c>
    </row>
    <row r="57" spans="1:37" x14ac:dyDescent="0.2">
      <c r="A57" t="s">
        <v>85</v>
      </c>
      <c r="B57" s="4">
        <f>113301+233303</f>
        <v>346604</v>
      </c>
      <c r="C57" s="4">
        <f>43727+141147</f>
        <v>184874</v>
      </c>
      <c r="L57" s="4">
        <f>7613+357+971+26580</f>
        <v>35521</v>
      </c>
    </row>
    <row r="58" spans="1:37" x14ac:dyDescent="0.2">
      <c r="A58" t="s">
        <v>86</v>
      </c>
      <c r="B58" s="4">
        <v>52786</v>
      </c>
      <c r="C58" s="4">
        <v>24827</v>
      </c>
    </row>
    <row r="60" spans="1:37" x14ac:dyDescent="0.2">
      <c r="B60" s="4">
        <f>+B55+B57+B58</f>
        <v>74619345</v>
      </c>
      <c r="C60" s="4">
        <f>+C55+C57+C58</f>
        <v>46609075</v>
      </c>
      <c r="L60" s="4">
        <f>+L55+L57</f>
        <v>2589957</v>
      </c>
    </row>
    <row r="64" spans="1:37" x14ac:dyDescent="0.2">
      <c r="F64" s="27"/>
    </row>
  </sheetData>
  <phoneticPr fontId="8" type="noConversion"/>
  <pageMargins left="0.7" right="0.7" top="0.75" bottom="0.75" header="0.3" footer="0.3"/>
  <pageSetup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tabColor rgb="FF00B0F0"/>
  </sheetPr>
  <dimension ref="A1:H55"/>
  <sheetViews>
    <sheetView workbookViewId="0">
      <selection activeCell="O61" sqref="O61"/>
    </sheetView>
  </sheetViews>
  <sheetFormatPr baseColWidth="10" defaultColWidth="8.83203125" defaultRowHeight="15" x14ac:dyDescent="0.2"/>
  <cols>
    <col min="1" max="1" width="18" customWidth="1"/>
    <col min="2" max="2" width="14.5" style="4" customWidth="1"/>
    <col min="3" max="3" width="12.83203125" style="60" customWidth="1"/>
    <col min="4" max="4" width="12.6640625" style="4" customWidth="1"/>
    <col min="6" max="6" width="12.83203125" style="4" customWidth="1"/>
    <col min="8" max="8" width="14.33203125" customWidth="1"/>
  </cols>
  <sheetData>
    <row r="1" spans="1:8" x14ac:dyDescent="0.2">
      <c r="A1" s="1" t="s">
        <v>219</v>
      </c>
    </row>
    <row r="2" spans="1:8" x14ac:dyDescent="0.2">
      <c r="A2" s="2" t="s">
        <v>217</v>
      </c>
    </row>
    <row r="3" spans="1:8" ht="45" x14ac:dyDescent="0.2">
      <c r="A3" s="3"/>
      <c r="B3" s="63" t="s">
        <v>220</v>
      </c>
      <c r="C3" s="61" t="s">
        <v>218</v>
      </c>
      <c r="D3" s="63" t="s">
        <v>221</v>
      </c>
      <c r="F3" s="114" t="s">
        <v>342</v>
      </c>
      <c r="H3" s="113" t="s">
        <v>343</v>
      </c>
    </row>
    <row r="4" spans="1:8" x14ac:dyDescent="0.2">
      <c r="A4" t="s">
        <v>109</v>
      </c>
      <c r="B4" s="4">
        <v>1026</v>
      </c>
      <c r="C4" s="60">
        <v>58035</v>
      </c>
      <c r="D4" s="4">
        <f>+B4*C4*0.001</f>
        <v>59543.91</v>
      </c>
      <c r="F4" s="4">
        <v>2833</v>
      </c>
      <c r="H4" s="6">
        <f>+D4+F4</f>
        <v>62376.91</v>
      </c>
    </row>
    <row r="5" spans="1:8" x14ac:dyDescent="0.2">
      <c r="A5" t="s">
        <v>110</v>
      </c>
      <c r="B5" s="4">
        <v>222</v>
      </c>
      <c r="C5" s="62">
        <v>148767</v>
      </c>
      <c r="D5" s="4">
        <f t="shared" ref="D5:D53" si="0">+B5*C5*0.001</f>
        <v>33026.273999999998</v>
      </c>
      <c r="F5" s="4">
        <v>1935</v>
      </c>
      <c r="H5" s="6">
        <f t="shared" ref="H5:H53" si="1">+D5+F5</f>
        <v>34961.273999999998</v>
      </c>
    </row>
    <row r="6" spans="1:8" x14ac:dyDescent="0.2">
      <c r="A6" t="s">
        <v>111</v>
      </c>
      <c r="B6" s="4">
        <v>936</v>
      </c>
      <c r="C6" s="60">
        <v>106098</v>
      </c>
      <c r="D6" s="4">
        <f t="shared" si="0"/>
        <v>99307.728000000003</v>
      </c>
      <c r="F6" s="4">
        <v>2351</v>
      </c>
      <c r="H6" s="6">
        <f t="shared" si="1"/>
        <v>101658.728</v>
      </c>
    </row>
    <row r="7" spans="1:8" x14ac:dyDescent="0.2">
      <c r="A7" t="s">
        <v>112</v>
      </c>
      <c r="B7" s="4">
        <v>711</v>
      </c>
      <c r="C7" s="60">
        <v>115734</v>
      </c>
      <c r="D7" s="4">
        <f t="shared" si="0"/>
        <v>82286.873999999996</v>
      </c>
      <c r="F7" s="4">
        <v>965</v>
      </c>
      <c r="H7" s="6">
        <f t="shared" si="1"/>
        <v>83251.873999999996</v>
      </c>
    </row>
    <row r="8" spans="1:8" x14ac:dyDescent="0.2">
      <c r="A8" t="s">
        <v>113</v>
      </c>
      <c r="B8" s="4">
        <v>9810</v>
      </c>
      <c r="C8" s="60">
        <v>208338</v>
      </c>
      <c r="D8" s="4">
        <f t="shared" si="0"/>
        <v>2043795.78</v>
      </c>
      <c r="F8" s="4">
        <v>14450</v>
      </c>
      <c r="H8" s="6">
        <f t="shared" si="1"/>
        <v>2058245.78</v>
      </c>
    </row>
    <row r="9" spans="1:8" x14ac:dyDescent="0.2">
      <c r="A9" t="s">
        <v>115</v>
      </c>
      <c r="B9" s="4">
        <v>1254</v>
      </c>
      <c r="C9" s="60">
        <v>104985</v>
      </c>
      <c r="D9" s="4">
        <f t="shared" si="0"/>
        <v>131651.19</v>
      </c>
      <c r="F9" s="4">
        <v>3725</v>
      </c>
      <c r="H9" s="6">
        <f t="shared" si="1"/>
        <v>135376.19</v>
      </c>
    </row>
    <row r="10" spans="1:8" x14ac:dyDescent="0.2">
      <c r="A10" t="s">
        <v>114</v>
      </c>
      <c r="B10" s="4">
        <v>252</v>
      </c>
      <c r="C10" s="60">
        <v>221705</v>
      </c>
      <c r="D10" s="4">
        <f t="shared" si="0"/>
        <v>55869.66</v>
      </c>
      <c r="F10" s="4">
        <v>1066</v>
      </c>
      <c r="H10" s="6">
        <f t="shared" si="1"/>
        <v>56935.66</v>
      </c>
    </row>
    <row r="11" spans="1:8" x14ac:dyDescent="0.2">
      <c r="A11" t="s">
        <v>42</v>
      </c>
      <c r="B11" s="4">
        <v>180</v>
      </c>
      <c r="C11" s="62">
        <v>148767</v>
      </c>
      <c r="D11" s="4">
        <f t="shared" si="0"/>
        <v>26778.06</v>
      </c>
      <c r="F11" s="4">
        <v>1290</v>
      </c>
      <c r="H11" s="6">
        <f t="shared" si="1"/>
        <v>28068.06</v>
      </c>
    </row>
    <row r="12" spans="1:8" x14ac:dyDescent="0.2">
      <c r="A12" t="s">
        <v>116</v>
      </c>
      <c r="B12" s="4">
        <v>3744</v>
      </c>
      <c r="C12" s="60">
        <v>55407</v>
      </c>
      <c r="D12" s="4">
        <f t="shared" si="0"/>
        <v>207443.80799999999</v>
      </c>
      <c r="F12" s="4">
        <v>10814</v>
      </c>
      <c r="H12" s="6">
        <f t="shared" si="1"/>
        <v>218257.80799999999</v>
      </c>
    </row>
    <row r="13" spans="1:8" x14ac:dyDescent="0.2">
      <c r="A13" t="s">
        <v>117</v>
      </c>
      <c r="B13" s="4">
        <v>1788</v>
      </c>
      <c r="C13" s="60">
        <v>91126</v>
      </c>
      <c r="D13" s="4">
        <f t="shared" si="0"/>
        <v>162933.288</v>
      </c>
      <c r="F13" s="4">
        <v>25278</v>
      </c>
      <c r="H13" s="6">
        <f t="shared" si="1"/>
        <v>188211.288</v>
      </c>
    </row>
    <row r="14" spans="1:8" x14ac:dyDescent="0.2">
      <c r="A14" t="s">
        <v>118</v>
      </c>
      <c r="B14" s="4">
        <v>99</v>
      </c>
      <c r="C14" s="60">
        <v>199319</v>
      </c>
      <c r="D14" s="4">
        <f t="shared" si="0"/>
        <v>19732.581000000002</v>
      </c>
      <c r="F14" s="4">
        <v>1060</v>
      </c>
      <c r="H14" s="6">
        <f t="shared" si="1"/>
        <v>20792.581000000002</v>
      </c>
    </row>
    <row r="15" spans="1:8" x14ac:dyDescent="0.2">
      <c r="A15" t="s">
        <v>119</v>
      </c>
      <c r="B15" s="4">
        <v>399</v>
      </c>
      <c r="C15" s="60">
        <v>77953</v>
      </c>
      <c r="D15" s="4">
        <f t="shared" si="0"/>
        <v>31103.246999999999</v>
      </c>
      <c r="F15" s="4">
        <v>1116</v>
      </c>
      <c r="H15" s="6">
        <f t="shared" si="1"/>
        <v>32219.246999999999</v>
      </c>
    </row>
    <row r="16" spans="1:8" x14ac:dyDescent="0.2">
      <c r="A16" t="s">
        <v>120</v>
      </c>
      <c r="B16" s="4">
        <v>2106</v>
      </c>
      <c r="C16" s="60">
        <v>111000</v>
      </c>
      <c r="D16" s="4">
        <f t="shared" si="0"/>
        <v>233766</v>
      </c>
      <c r="F16" s="4">
        <v>9591</v>
      </c>
      <c r="H16" s="6">
        <f t="shared" si="1"/>
        <v>243357</v>
      </c>
    </row>
    <row r="17" spans="1:8" x14ac:dyDescent="0.2">
      <c r="A17" t="s">
        <v>121</v>
      </c>
      <c r="B17" s="4">
        <v>1878</v>
      </c>
      <c r="C17" s="60">
        <v>77427</v>
      </c>
      <c r="D17" s="4">
        <f t="shared" si="0"/>
        <v>145407.90600000002</v>
      </c>
      <c r="F17" s="4">
        <v>1748</v>
      </c>
      <c r="H17" s="6">
        <f t="shared" si="1"/>
        <v>147155.90600000002</v>
      </c>
    </row>
    <row r="18" spans="1:8" x14ac:dyDescent="0.2">
      <c r="A18" t="s">
        <v>122</v>
      </c>
      <c r="B18" s="4">
        <v>729</v>
      </c>
      <c r="C18" s="62">
        <v>148767</v>
      </c>
      <c r="D18" s="4">
        <f t="shared" si="0"/>
        <v>108451.143</v>
      </c>
      <c r="F18" s="4">
        <v>1822</v>
      </c>
      <c r="H18" s="6">
        <f t="shared" si="1"/>
        <v>110273.143</v>
      </c>
    </row>
    <row r="19" spans="1:8" x14ac:dyDescent="0.2">
      <c r="A19" t="s">
        <v>123</v>
      </c>
      <c r="B19" s="4">
        <v>813</v>
      </c>
      <c r="C19" s="60">
        <v>91433</v>
      </c>
      <c r="D19" s="4">
        <f t="shared" si="0"/>
        <v>74335.028999999995</v>
      </c>
      <c r="F19" s="4">
        <v>937</v>
      </c>
      <c r="H19" s="6">
        <f t="shared" si="1"/>
        <v>75272.028999999995</v>
      </c>
    </row>
    <row r="20" spans="1:8" x14ac:dyDescent="0.2">
      <c r="A20" t="s">
        <v>124</v>
      </c>
      <c r="B20" s="4">
        <v>747</v>
      </c>
      <c r="C20" s="60">
        <v>100740</v>
      </c>
      <c r="D20" s="4">
        <f t="shared" si="0"/>
        <v>75252.78</v>
      </c>
      <c r="F20" s="4">
        <v>1521</v>
      </c>
      <c r="H20" s="6">
        <f t="shared" si="1"/>
        <v>76773.78</v>
      </c>
    </row>
    <row r="21" spans="1:8" x14ac:dyDescent="0.2">
      <c r="A21" t="s">
        <v>125</v>
      </c>
      <c r="B21" s="4">
        <v>957</v>
      </c>
      <c r="C21" s="60">
        <v>46662</v>
      </c>
      <c r="D21" s="4">
        <f t="shared" si="0"/>
        <v>44655.534</v>
      </c>
      <c r="F21" s="4">
        <v>4557</v>
      </c>
      <c r="H21" s="6">
        <f t="shared" si="1"/>
        <v>49212.534</v>
      </c>
    </row>
    <row r="22" spans="1:8" x14ac:dyDescent="0.2">
      <c r="A22" t="s">
        <v>0</v>
      </c>
      <c r="B22" s="4">
        <v>165</v>
      </c>
      <c r="C22" s="60">
        <v>224960</v>
      </c>
      <c r="D22" s="4">
        <f t="shared" si="0"/>
        <v>37118.400000000001</v>
      </c>
      <c r="F22" s="4">
        <v>1795</v>
      </c>
      <c r="H22" s="6">
        <f t="shared" si="1"/>
        <v>38913.4</v>
      </c>
    </row>
    <row r="23" spans="1:8" x14ac:dyDescent="0.2">
      <c r="A23" t="s">
        <v>1</v>
      </c>
      <c r="B23" s="4">
        <v>939</v>
      </c>
      <c r="C23" s="60">
        <v>295285</v>
      </c>
      <c r="D23" s="4">
        <f t="shared" si="0"/>
        <v>277272.61499999999</v>
      </c>
      <c r="F23" s="4">
        <v>12152</v>
      </c>
      <c r="H23" s="6">
        <f t="shared" si="1"/>
        <v>289424.61499999999</v>
      </c>
    </row>
    <row r="24" spans="1:8" x14ac:dyDescent="0.2">
      <c r="A24" t="s">
        <v>2</v>
      </c>
      <c r="B24" s="4">
        <v>543</v>
      </c>
      <c r="C24" s="60">
        <v>172824</v>
      </c>
      <c r="D24" s="4">
        <f t="shared" si="0"/>
        <v>93843.432000000001</v>
      </c>
      <c r="F24" s="4">
        <v>2969</v>
      </c>
      <c r="H24" s="6">
        <f t="shared" si="1"/>
        <v>96812.432000000001</v>
      </c>
    </row>
    <row r="25" spans="1:8" x14ac:dyDescent="0.2">
      <c r="A25" t="s">
        <v>3</v>
      </c>
      <c r="B25" s="4">
        <v>2085</v>
      </c>
      <c r="C25" s="60">
        <v>173455</v>
      </c>
      <c r="D25" s="4">
        <f t="shared" si="0"/>
        <v>361653.67499999999</v>
      </c>
      <c r="F25" s="4">
        <v>4886</v>
      </c>
      <c r="H25" s="6">
        <f t="shared" si="1"/>
        <v>366539.67499999999</v>
      </c>
    </row>
    <row r="26" spans="1:8" x14ac:dyDescent="0.2">
      <c r="A26" t="s">
        <v>4</v>
      </c>
      <c r="B26" s="4">
        <v>828</v>
      </c>
      <c r="C26" s="60">
        <v>104839</v>
      </c>
      <c r="D26" s="4">
        <f t="shared" si="0"/>
        <v>86806.691999999995</v>
      </c>
      <c r="F26" s="4">
        <v>2978</v>
      </c>
      <c r="H26" s="6">
        <f t="shared" si="1"/>
        <v>89784.691999999995</v>
      </c>
    </row>
    <row r="27" spans="1:8" x14ac:dyDescent="0.2">
      <c r="A27" t="s">
        <v>5</v>
      </c>
      <c r="B27" s="4">
        <v>258</v>
      </c>
      <c r="C27" s="60">
        <v>153300</v>
      </c>
      <c r="D27" s="4">
        <f t="shared" si="0"/>
        <v>39551.4</v>
      </c>
      <c r="F27" s="4">
        <v>1048</v>
      </c>
      <c r="H27" s="6">
        <f t="shared" si="1"/>
        <v>40599.4</v>
      </c>
    </row>
    <row r="28" spans="1:8" x14ac:dyDescent="0.2">
      <c r="A28" t="s">
        <v>6</v>
      </c>
      <c r="B28" s="4">
        <v>1122</v>
      </c>
      <c r="C28" s="60">
        <v>89170</v>
      </c>
      <c r="D28" s="4">
        <f t="shared" si="0"/>
        <v>100048.74</v>
      </c>
      <c r="F28" s="4">
        <v>1270</v>
      </c>
      <c r="H28" s="6">
        <f t="shared" si="1"/>
        <v>101318.74</v>
      </c>
    </row>
    <row r="29" spans="1:8" x14ac:dyDescent="0.2">
      <c r="A29" t="s">
        <v>7</v>
      </c>
      <c r="B29" s="4">
        <v>168</v>
      </c>
      <c r="C29" s="60">
        <v>175810</v>
      </c>
      <c r="D29" s="4">
        <f t="shared" si="0"/>
        <v>29536.080000000002</v>
      </c>
      <c r="F29" s="4">
        <v>1312</v>
      </c>
      <c r="H29" s="6">
        <f t="shared" si="1"/>
        <v>30848.080000000002</v>
      </c>
    </row>
    <row r="30" spans="1:8" x14ac:dyDescent="0.2">
      <c r="A30" t="s">
        <v>8</v>
      </c>
      <c r="B30" s="4">
        <v>669</v>
      </c>
      <c r="C30" s="60">
        <v>126856</v>
      </c>
      <c r="D30" s="4">
        <f t="shared" si="0"/>
        <v>84866.664000000004</v>
      </c>
      <c r="F30" s="4">
        <v>1954</v>
      </c>
      <c r="H30" s="6">
        <f t="shared" si="1"/>
        <v>86820.664000000004</v>
      </c>
    </row>
    <row r="31" spans="1:8" x14ac:dyDescent="0.2">
      <c r="A31" t="s">
        <v>92</v>
      </c>
      <c r="B31" s="4">
        <v>720</v>
      </c>
      <c r="C31" s="60">
        <v>195406</v>
      </c>
      <c r="D31" s="4">
        <f t="shared" si="0"/>
        <v>140692.32</v>
      </c>
      <c r="F31" s="4">
        <v>5257</v>
      </c>
      <c r="H31" s="6">
        <f t="shared" si="1"/>
        <v>145949.32</v>
      </c>
    </row>
    <row r="32" spans="1:8" x14ac:dyDescent="0.2">
      <c r="A32" t="s">
        <v>9</v>
      </c>
      <c r="B32" s="4">
        <v>90</v>
      </c>
      <c r="C32" s="60">
        <v>214620</v>
      </c>
      <c r="D32" s="4">
        <f t="shared" si="0"/>
        <v>19315.8</v>
      </c>
      <c r="F32" s="4">
        <v>2102</v>
      </c>
      <c r="H32" s="6">
        <f t="shared" si="1"/>
        <v>21417.8</v>
      </c>
    </row>
    <row r="33" spans="1:8" x14ac:dyDescent="0.2">
      <c r="A33" t="s">
        <v>10</v>
      </c>
      <c r="B33" s="4">
        <v>1005</v>
      </c>
      <c r="C33" s="60">
        <v>196133</v>
      </c>
      <c r="D33" s="4">
        <f t="shared" si="0"/>
        <v>197113.66500000001</v>
      </c>
      <c r="F33" s="4">
        <v>1778</v>
      </c>
      <c r="H33" s="6">
        <f t="shared" si="1"/>
        <v>198891.66500000001</v>
      </c>
    </row>
    <row r="34" spans="1:8" x14ac:dyDescent="0.2">
      <c r="A34" t="s">
        <v>11</v>
      </c>
      <c r="B34" s="4">
        <v>522</v>
      </c>
      <c r="C34" s="60">
        <v>178073</v>
      </c>
      <c r="D34" s="4">
        <f t="shared" si="0"/>
        <v>92954.106</v>
      </c>
      <c r="F34" s="4">
        <v>892</v>
      </c>
      <c r="H34" s="6">
        <f t="shared" si="1"/>
        <v>93846.106</v>
      </c>
    </row>
    <row r="35" spans="1:8" x14ac:dyDescent="0.2">
      <c r="A35" t="s">
        <v>12</v>
      </c>
      <c r="B35" s="4">
        <v>2139</v>
      </c>
      <c r="C35" s="60">
        <v>352663</v>
      </c>
      <c r="D35" s="4">
        <f t="shared" si="0"/>
        <v>754346.15700000001</v>
      </c>
      <c r="F35" s="4">
        <v>6826</v>
      </c>
      <c r="H35" s="6">
        <f t="shared" si="1"/>
        <v>761172.15700000001</v>
      </c>
    </row>
    <row r="36" spans="1:8" x14ac:dyDescent="0.2">
      <c r="A36" t="s">
        <v>13</v>
      </c>
      <c r="B36" s="4">
        <v>567</v>
      </c>
      <c r="C36" s="60">
        <v>159750</v>
      </c>
      <c r="D36" s="4">
        <f t="shared" si="0"/>
        <v>90578.25</v>
      </c>
      <c r="F36" s="4">
        <v>3633</v>
      </c>
      <c r="H36" s="6">
        <f t="shared" si="1"/>
        <v>94211.25</v>
      </c>
    </row>
    <row r="37" spans="1:8" x14ac:dyDescent="0.2">
      <c r="A37" t="s">
        <v>14</v>
      </c>
      <c r="B37" s="4">
        <v>156</v>
      </c>
      <c r="C37" s="60">
        <v>125042</v>
      </c>
      <c r="D37" s="4">
        <f t="shared" si="0"/>
        <v>19506.552</v>
      </c>
      <c r="F37" s="4">
        <v>977</v>
      </c>
      <c r="H37" s="6">
        <f t="shared" si="1"/>
        <v>20483.552</v>
      </c>
    </row>
    <row r="38" spans="1:8" x14ac:dyDescent="0.2">
      <c r="A38" t="s">
        <v>15</v>
      </c>
      <c r="B38" s="4">
        <v>2490</v>
      </c>
      <c r="C38" s="60">
        <v>202502</v>
      </c>
      <c r="D38" s="4">
        <f t="shared" si="0"/>
        <v>504229.98000000004</v>
      </c>
      <c r="F38" s="4">
        <v>3266</v>
      </c>
      <c r="H38" s="6">
        <f t="shared" si="1"/>
        <v>507495.98000000004</v>
      </c>
    </row>
    <row r="39" spans="1:8" x14ac:dyDescent="0.2">
      <c r="A39" t="s">
        <v>16</v>
      </c>
      <c r="B39" s="4">
        <v>576</v>
      </c>
      <c r="C39" s="62">
        <v>148767</v>
      </c>
      <c r="D39" s="4">
        <f t="shared" si="0"/>
        <v>85689.792000000001</v>
      </c>
      <c r="F39" s="4">
        <v>2602</v>
      </c>
      <c r="H39" s="6">
        <f t="shared" si="1"/>
        <v>88291.792000000001</v>
      </c>
    </row>
    <row r="40" spans="1:8" x14ac:dyDescent="0.2">
      <c r="A40" t="s">
        <v>17</v>
      </c>
      <c r="B40" s="4">
        <v>1098</v>
      </c>
      <c r="C40" s="60">
        <v>95995</v>
      </c>
      <c r="D40" s="4">
        <f t="shared" si="0"/>
        <v>105402.51000000001</v>
      </c>
      <c r="F40" s="4">
        <v>4325</v>
      </c>
      <c r="H40" s="6">
        <f t="shared" si="1"/>
        <v>109727.51000000001</v>
      </c>
    </row>
    <row r="41" spans="1:8" x14ac:dyDescent="0.2">
      <c r="A41" t="s">
        <v>18</v>
      </c>
      <c r="B41" s="4">
        <v>3075</v>
      </c>
      <c r="C41" s="62">
        <v>148767</v>
      </c>
      <c r="D41" s="4">
        <f t="shared" si="0"/>
        <v>457458.52500000002</v>
      </c>
      <c r="F41" s="4">
        <v>16462</v>
      </c>
      <c r="H41" s="6">
        <f t="shared" si="1"/>
        <v>473920.52500000002</v>
      </c>
    </row>
    <row r="42" spans="1:8" x14ac:dyDescent="0.2">
      <c r="A42" t="s">
        <v>19</v>
      </c>
      <c r="B42" s="4">
        <v>186</v>
      </c>
      <c r="C42" s="60">
        <v>186380</v>
      </c>
      <c r="D42" s="4">
        <f t="shared" si="0"/>
        <v>34666.68</v>
      </c>
      <c r="F42" s="4">
        <v>790</v>
      </c>
      <c r="H42" s="6">
        <f t="shared" si="1"/>
        <v>35456.68</v>
      </c>
    </row>
    <row r="43" spans="1:8" x14ac:dyDescent="0.2">
      <c r="A43" t="s">
        <v>20</v>
      </c>
      <c r="B43" s="4">
        <v>726</v>
      </c>
      <c r="C43" s="60">
        <v>155490</v>
      </c>
      <c r="D43" s="4">
        <f t="shared" si="0"/>
        <v>112885.74</v>
      </c>
      <c r="F43" s="4">
        <v>1527</v>
      </c>
      <c r="H43" s="6">
        <f t="shared" si="1"/>
        <v>114412.74</v>
      </c>
    </row>
    <row r="44" spans="1:8" x14ac:dyDescent="0.2">
      <c r="A44" t="s">
        <v>21</v>
      </c>
      <c r="B44" s="4">
        <v>429</v>
      </c>
      <c r="C44" s="60">
        <v>75712</v>
      </c>
      <c r="D44" s="4">
        <f t="shared" si="0"/>
        <v>32480.448</v>
      </c>
      <c r="F44" s="4">
        <v>1208</v>
      </c>
      <c r="H44" s="6">
        <f t="shared" si="1"/>
        <v>33688.448000000004</v>
      </c>
    </row>
    <row r="45" spans="1:8" x14ac:dyDescent="0.2">
      <c r="A45" t="s">
        <v>22</v>
      </c>
      <c r="B45" s="4">
        <v>783</v>
      </c>
      <c r="C45" s="60">
        <v>109971</v>
      </c>
      <c r="D45" s="4">
        <f t="shared" si="0"/>
        <v>86107.293000000005</v>
      </c>
      <c r="F45" s="4">
        <v>1419</v>
      </c>
      <c r="H45" s="6">
        <f t="shared" si="1"/>
        <v>87526.293000000005</v>
      </c>
    </row>
    <row r="46" spans="1:8" x14ac:dyDescent="0.2">
      <c r="A46" t="s">
        <v>23</v>
      </c>
      <c r="B46" s="4">
        <v>4671</v>
      </c>
      <c r="C46" s="60">
        <v>133911</v>
      </c>
      <c r="D46" s="4">
        <f t="shared" si="0"/>
        <v>625498.28099999996</v>
      </c>
      <c r="F46" s="4">
        <v>6683</v>
      </c>
      <c r="H46" s="6">
        <f t="shared" si="1"/>
        <v>632181.28099999996</v>
      </c>
    </row>
    <row r="47" spans="1:8" x14ac:dyDescent="0.2">
      <c r="A47" t="s">
        <v>24</v>
      </c>
      <c r="B47" s="4">
        <v>732</v>
      </c>
      <c r="C47" s="60">
        <v>78154</v>
      </c>
      <c r="D47" s="4">
        <f t="shared" si="0"/>
        <v>57208.728000000003</v>
      </c>
      <c r="F47" s="4">
        <v>1656</v>
      </c>
      <c r="H47" s="6">
        <f t="shared" si="1"/>
        <v>58864.728000000003</v>
      </c>
    </row>
    <row r="48" spans="1:8" x14ac:dyDescent="0.2">
      <c r="A48" t="s">
        <v>25</v>
      </c>
      <c r="B48" s="4">
        <v>36</v>
      </c>
      <c r="C48" s="60">
        <v>224475</v>
      </c>
      <c r="D48" s="4">
        <f t="shared" si="0"/>
        <v>8081.1</v>
      </c>
      <c r="F48" s="4">
        <v>760</v>
      </c>
      <c r="H48" s="6">
        <f t="shared" si="1"/>
        <v>8841.1</v>
      </c>
    </row>
    <row r="49" spans="1:8" x14ac:dyDescent="0.2">
      <c r="A49" t="s">
        <v>26</v>
      </c>
      <c r="B49" s="4">
        <v>1686</v>
      </c>
      <c r="C49" s="60">
        <v>260019</v>
      </c>
      <c r="D49" s="4">
        <f t="shared" si="0"/>
        <v>438392.03399999999</v>
      </c>
      <c r="F49" s="4">
        <v>41574</v>
      </c>
      <c r="H49" s="6">
        <f t="shared" si="1"/>
        <v>479966.03399999999</v>
      </c>
    </row>
    <row r="50" spans="1:8" x14ac:dyDescent="0.2">
      <c r="A50" t="s">
        <v>27</v>
      </c>
      <c r="B50" s="4">
        <v>1062</v>
      </c>
      <c r="C50" s="60">
        <v>95805</v>
      </c>
      <c r="D50" s="4">
        <f t="shared" si="0"/>
        <v>101744.91</v>
      </c>
      <c r="F50" s="4">
        <v>15911</v>
      </c>
      <c r="H50" s="6">
        <f t="shared" si="1"/>
        <v>117655.91</v>
      </c>
    </row>
    <row r="51" spans="1:8" x14ac:dyDescent="0.2">
      <c r="A51" t="s">
        <v>28</v>
      </c>
      <c r="B51" s="4">
        <v>489</v>
      </c>
      <c r="C51" s="60">
        <v>141467</v>
      </c>
      <c r="D51" s="4">
        <f t="shared" si="0"/>
        <v>69177.362999999998</v>
      </c>
      <c r="F51" s="4">
        <v>787</v>
      </c>
      <c r="H51" s="6">
        <f t="shared" si="1"/>
        <v>69964.362999999998</v>
      </c>
    </row>
    <row r="52" spans="1:8" x14ac:dyDescent="0.2">
      <c r="A52" t="s">
        <v>29</v>
      </c>
      <c r="B52" s="4">
        <v>915</v>
      </c>
      <c r="C52" s="60">
        <v>106215</v>
      </c>
      <c r="D52" s="4">
        <f t="shared" si="0"/>
        <v>97186.725000000006</v>
      </c>
      <c r="F52" s="4">
        <v>9017</v>
      </c>
      <c r="H52" s="6">
        <f t="shared" si="1"/>
        <v>106203.72500000001</v>
      </c>
    </row>
    <row r="53" spans="1:8" x14ac:dyDescent="0.2">
      <c r="A53" t="s">
        <v>30</v>
      </c>
      <c r="B53" s="4">
        <v>249</v>
      </c>
      <c r="C53" s="60">
        <v>95265</v>
      </c>
      <c r="D53" s="4">
        <f t="shared" si="0"/>
        <v>23720.985000000001</v>
      </c>
      <c r="F53" s="4">
        <v>1259</v>
      </c>
      <c r="H53" s="6">
        <f t="shared" si="1"/>
        <v>24979.985000000001</v>
      </c>
    </row>
    <row r="55" spans="1:8" x14ac:dyDescent="0.2">
      <c r="D55" s="4">
        <f>SUM(D4:D54)</f>
        <v>8900476.4339999985</v>
      </c>
      <c r="F55" s="4">
        <f>SUM(F4:F54)</f>
        <v>248134</v>
      </c>
      <c r="H55" s="4">
        <f>SUM(H4:H54)</f>
        <v>9148610.4339999985</v>
      </c>
    </row>
  </sheetData>
  <phoneticPr fontId="8" type="noConversion"/>
  <pageMargins left="0.7" right="0.7" top="0.75" bottom="0.75" header="0.3" footer="0.3"/>
  <pageSetup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tabColor rgb="FF00B0F0"/>
  </sheetPr>
  <dimension ref="A1:Q55"/>
  <sheetViews>
    <sheetView workbookViewId="0">
      <selection activeCell="S50" sqref="S50"/>
    </sheetView>
  </sheetViews>
  <sheetFormatPr baseColWidth="10" defaultColWidth="8.83203125" defaultRowHeight="15" x14ac:dyDescent="0.2"/>
  <cols>
    <col min="1" max="1" width="15.6640625" customWidth="1"/>
    <col min="2" max="2" width="7.33203125" style="7" customWidth="1"/>
    <col min="4" max="4" width="11.1640625" style="4" customWidth="1"/>
    <col min="5" max="6" width="10.83203125" style="4" customWidth="1"/>
    <col min="7" max="7" width="12" style="4" customWidth="1"/>
    <col min="8" max="8" width="11.1640625" style="4" customWidth="1"/>
    <col min="9" max="9" width="11.83203125" customWidth="1"/>
    <col min="10" max="11" width="11.5" bestFit="1" customWidth="1"/>
    <col min="12" max="12" width="2.5" customWidth="1"/>
    <col min="13" max="13" width="15.1640625" customWidth="1"/>
    <col min="14" max="14" width="4.1640625" customWidth="1"/>
    <col min="15" max="15" width="16.6640625" customWidth="1"/>
    <col min="16" max="16" width="15.1640625" customWidth="1"/>
    <col min="17" max="17" width="10.5" bestFit="1" customWidth="1"/>
  </cols>
  <sheetData>
    <row r="1" spans="1:17" x14ac:dyDescent="0.2">
      <c r="A1" s="1" t="s">
        <v>38</v>
      </c>
    </row>
    <row r="2" spans="1:17" x14ac:dyDescent="0.2">
      <c r="A2" s="2" t="s">
        <v>45</v>
      </c>
    </row>
    <row r="3" spans="1:17" s="3" customFormat="1" ht="75" x14ac:dyDescent="0.2">
      <c r="B3" s="15" t="s">
        <v>271</v>
      </c>
      <c r="D3" s="5" t="s">
        <v>204</v>
      </c>
      <c r="E3" s="5" t="s">
        <v>205</v>
      </c>
      <c r="F3" s="5" t="s">
        <v>207</v>
      </c>
      <c r="G3" s="5" t="s">
        <v>274</v>
      </c>
      <c r="H3" s="5" t="s">
        <v>206</v>
      </c>
      <c r="I3" s="3" t="s">
        <v>208</v>
      </c>
      <c r="J3" s="3" t="s">
        <v>209</v>
      </c>
      <c r="K3" s="3" t="s">
        <v>212</v>
      </c>
      <c r="M3" s="3" t="s">
        <v>213</v>
      </c>
      <c r="O3" s="3" t="s">
        <v>273</v>
      </c>
      <c r="P3" s="3" t="s">
        <v>272</v>
      </c>
    </row>
    <row r="4" spans="1:17" x14ac:dyDescent="0.2">
      <c r="A4" t="s">
        <v>109</v>
      </c>
      <c r="B4" s="14" t="s">
        <v>139</v>
      </c>
      <c r="D4" s="4">
        <v>51901</v>
      </c>
      <c r="E4" s="4">
        <v>400748</v>
      </c>
      <c r="F4" s="4">
        <v>1417969</v>
      </c>
      <c r="G4" s="4">
        <v>1275870</v>
      </c>
      <c r="H4" s="4">
        <v>506039</v>
      </c>
      <c r="I4" s="4">
        <v>0</v>
      </c>
      <c r="J4" s="4">
        <v>0</v>
      </c>
      <c r="K4" s="4">
        <v>0</v>
      </c>
      <c r="M4" s="6">
        <f>+D4+E4+F4+H4+I4+J4+K4</f>
        <v>2376657</v>
      </c>
      <c r="N4" s="6"/>
      <c r="O4" s="6">
        <f>+F4+I4</f>
        <v>1417969</v>
      </c>
      <c r="P4" s="6">
        <f>+D4+E4+H4+J4+K4</f>
        <v>958688</v>
      </c>
      <c r="Q4" s="6"/>
    </row>
    <row r="5" spans="1:17" x14ac:dyDescent="0.2">
      <c r="A5" t="s">
        <v>110</v>
      </c>
      <c r="B5" s="14" t="s">
        <v>139</v>
      </c>
      <c r="D5" s="4">
        <v>7612</v>
      </c>
      <c r="E5" s="4">
        <v>81374</v>
      </c>
      <c r="F5" s="4">
        <v>101907</v>
      </c>
      <c r="G5" s="4">
        <v>92217</v>
      </c>
      <c r="H5" s="4">
        <v>46171</v>
      </c>
      <c r="I5" s="4">
        <v>0</v>
      </c>
      <c r="J5" s="4">
        <v>0</v>
      </c>
      <c r="K5" s="4">
        <v>0</v>
      </c>
      <c r="M5" s="6">
        <f t="shared" ref="M5:M53" si="0">+D5+E5+F5+H5+I5+J5+K5</f>
        <v>237064</v>
      </c>
      <c r="N5" s="6"/>
      <c r="O5" s="6">
        <f t="shared" ref="O5:O53" si="1">+F5+I5</f>
        <v>101907</v>
      </c>
      <c r="P5" s="6">
        <f t="shared" ref="P5:P53" si="2">+D5+E5+H5+J5+K5</f>
        <v>135157</v>
      </c>
    </row>
    <row r="6" spans="1:17" x14ac:dyDescent="0.2">
      <c r="A6" t="s">
        <v>111</v>
      </c>
      <c r="B6" s="14" t="s">
        <v>139</v>
      </c>
      <c r="D6" s="4">
        <v>56156</v>
      </c>
      <c r="E6" s="4">
        <v>573503</v>
      </c>
      <c r="F6" s="4">
        <v>1409991</v>
      </c>
      <c r="G6" s="4">
        <v>1256676</v>
      </c>
      <c r="H6" s="4">
        <v>713185</v>
      </c>
      <c r="I6" s="4">
        <v>0</v>
      </c>
      <c r="J6" s="4">
        <v>0</v>
      </c>
      <c r="K6" s="4">
        <v>0</v>
      </c>
      <c r="M6" s="6">
        <f t="shared" si="0"/>
        <v>2752835</v>
      </c>
      <c r="N6" s="6"/>
      <c r="O6" s="6">
        <f t="shared" si="1"/>
        <v>1409991</v>
      </c>
      <c r="P6" s="6">
        <f t="shared" si="2"/>
        <v>1342844</v>
      </c>
    </row>
    <row r="7" spans="1:17" x14ac:dyDescent="0.2">
      <c r="A7" t="s">
        <v>112</v>
      </c>
      <c r="B7" s="14" t="s">
        <v>139</v>
      </c>
      <c r="D7" s="4">
        <v>27058</v>
      </c>
      <c r="E7" s="4">
        <v>250756</v>
      </c>
      <c r="F7" s="4">
        <v>764025</v>
      </c>
      <c r="G7" s="4">
        <v>687646</v>
      </c>
      <c r="H7" s="4">
        <v>292965</v>
      </c>
      <c r="I7" s="4">
        <v>0</v>
      </c>
      <c r="J7" s="56">
        <f>+D7*0.2</f>
        <v>5411.6</v>
      </c>
      <c r="K7" s="4">
        <v>0</v>
      </c>
      <c r="M7" s="6">
        <f t="shared" si="0"/>
        <v>1340215.6000000001</v>
      </c>
      <c r="N7" s="6"/>
      <c r="O7" s="6">
        <f t="shared" si="1"/>
        <v>764025</v>
      </c>
      <c r="P7" s="6">
        <f t="shared" si="2"/>
        <v>576190.6</v>
      </c>
    </row>
    <row r="8" spans="1:17" x14ac:dyDescent="0.2">
      <c r="A8" t="s">
        <v>113</v>
      </c>
      <c r="B8" s="14" t="s">
        <v>139</v>
      </c>
      <c r="D8" s="4">
        <v>373226</v>
      </c>
      <c r="E8" s="4">
        <v>3140531</v>
      </c>
      <c r="F8" s="4">
        <v>7289949</v>
      </c>
      <c r="G8" s="4">
        <v>6189910</v>
      </c>
      <c r="H8" s="4">
        <v>3774231</v>
      </c>
      <c r="I8" s="4">
        <v>0</v>
      </c>
      <c r="J8" s="4">
        <v>36000</v>
      </c>
      <c r="K8" s="4">
        <v>0</v>
      </c>
      <c r="M8" s="6">
        <f t="shared" si="0"/>
        <v>14613937</v>
      </c>
      <c r="N8" s="6"/>
      <c r="O8" s="6">
        <f t="shared" si="1"/>
        <v>7289949</v>
      </c>
      <c r="P8" s="6">
        <f t="shared" si="2"/>
        <v>7323988</v>
      </c>
    </row>
    <row r="9" spans="1:17" x14ac:dyDescent="0.2">
      <c r="A9" t="s">
        <v>115</v>
      </c>
      <c r="B9" s="7">
        <v>0.1</v>
      </c>
      <c r="C9" s="6"/>
      <c r="D9" s="4">
        <v>53055</v>
      </c>
      <c r="E9" s="4">
        <v>502934</v>
      </c>
      <c r="F9" s="4">
        <v>775244</v>
      </c>
      <c r="G9" s="4">
        <v>680242</v>
      </c>
      <c r="H9" s="4">
        <v>415367</v>
      </c>
      <c r="I9" s="4">
        <v>0</v>
      </c>
      <c r="J9" s="4">
        <v>3246</v>
      </c>
      <c r="K9" s="4">
        <v>16710</v>
      </c>
      <c r="M9" s="6">
        <f t="shared" si="0"/>
        <v>1766556</v>
      </c>
      <c r="N9" s="6"/>
      <c r="O9" s="6">
        <f t="shared" si="1"/>
        <v>775244</v>
      </c>
      <c r="P9" s="6">
        <f t="shared" si="2"/>
        <v>991312</v>
      </c>
    </row>
    <row r="10" spans="1:17" x14ac:dyDescent="0.2">
      <c r="A10" t="s">
        <v>114</v>
      </c>
      <c r="B10" s="7">
        <v>0.3</v>
      </c>
      <c r="D10" s="4">
        <v>41299</v>
      </c>
      <c r="E10" s="4">
        <v>291356</v>
      </c>
      <c r="F10" s="4">
        <v>453494</v>
      </c>
      <c r="G10" s="4">
        <v>397772</v>
      </c>
      <c r="H10" s="4">
        <v>181081</v>
      </c>
      <c r="I10" s="4">
        <v>110200</v>
      </c>
      <c r="J10" s="4">
        <v>0</v>
      </c>
      <c r="K10" s="4">
        <v>0</v>
      </c>
      <c r="M10" s="6">
        <f t="shared" si="0"/>
        <v>1077430</v>
      </c>
      <c r="N10" s="6"/>
      <c r="O10" s="6">
        <f t="shared" si="1"/>
        <v>563694</v>
      </c>
      <c r="P10" s="6">
        <f t="shared" si="2"/>
        <v>513736</v>
      </c>
    </row>
    <row r="11" spans="1:17" x14ac:dyDescent="0.2">
      <c r="A11" t="s">
        <v>42</v>
      </c>
      <c r="B11" s="7">
        <v>0.2</v>
      </c>
      <c r="D11" s="4">
        <v>12616</v>
      </c>
      <c r="E11" s="4">
        <v>80560</v>
      </c>
      <c r="F11" s="4">
        <v>165527</v>
      </c>
      <c r="G11" s="4">
        <v>150810</v>
      </c>
      <c r="H11" s="4">
        <v>69605</v>
      </c>
      <c r="I11" s="4">
        <v>8500</v>
      </c>
      <c r="J11" s="4">
        <v>5000</v>
      </c>
      <c r="K11" s="4">
        <v>0</v>
      </c>
      <c r="M11" s="6">
        <f t="shared" si="0"/>
        <v>341808</v>
      </c>
      <c r="N11" s="6"/>
      <c r="O11" s="6">
        <f t="shared" si="1"/>
        <v>174027</v>
      </c>
      <c r="P11" s="6">
        <f t="shared" si="2"/>
        <v>167781</v>
      </c>
    </row>
    <row r="12" spans="1:17" x14ac:dyDescent="0.2">
      <c r="A12" t="s">
        <v>116</v>
      </c>
      <c r="B12" s="14" t="s">
        <v>139</v>
      </c>
      <c r="D12" s="4">
        <v>221917</v>
      </c>
      <c r="E12" s="4">
        <v>1327002</v>
      </c>
      <c r="F12" s="4">
        <v>5009789</v>
      </c>
      <c r="G12" s="4">
        <v>4421076</v>
      </c>
      <c r="H12" s="4">
        <v>1827390</v>
      </c>
      <c r="I12" s="4">
        <v>0</v>
      </c>
      <c r="J12" s="4">
        <v>0</v>
      </c>
      <c r="K12" s="4">
        <v>0</v>
      </c>
      <c r="M12" s="6">
        <f t="shared" si="0"/>
        <v>8386098</v>
      </c>
      <c r="N12" s="6"/>
      <c r="O12" s="6">
        <f t="shared" si="1"/>
        <v>5009789</v>
      </c>
      <c r="P12" s="6">
        <f t="shared" si="2"/>
        <v>3376309</v>
      </c>
    </row>
    <row r="13" spans="1:17" x14ac:dyDescent="0.2">
      <c r="A13" t="s">
        <v>117</v>
      </c>
      <c r="B13" s="14" t="s">
        <v>139</v>
      </c>
      <c r="D13" s="4">
        <v>115935</v>
      </c>
      <c r="E13" s="4">
        <v>792933</v>
      </c>
      <c r="F13" s="4">
        <v>2900740</v>
      </c>
      <c r="G13" s="4">
        <v>2555367</v>
      </c>
      <c r="H13" s="4">
        <v>1210569</v>
      </c>
      <c r="I13" s="4">
        <v>0</v>
      </c>
      <c r="J13" s="4">
        <v>34000</v>
      </c>
      <c r="K13" s="4">
        <v>0</v>
      </c>
      <c r="M13" s="6">
        <f t="shared" si="0"/>
        <v>5054177</v>
      </c>
      <c r="N13" s="6"/>
      <c r="O13" s="6">
        <f t="shared" si="1"/>
        <v>2900740</v>
      </c>
      <c r="P13" s="6">
        <f t="shared" si="2"/>
        <v>2153437</v>
      </c>
    </row>
    <row r="14" spans="1:17" x14ac:dyDescent="0.2">
      <c r="A14" t="s">
        <v>118</v>
      </c>
      <c r="B14" s="14" t="s">
        <v>139</v>
      </c>
      <c r="D14" s="4">
        <v>14247</v>
      </c>
      <c r="E14" s="4">
        <v>128975</v>
      </c>
      <c r="F14" s="4">
        <v>240483</v>
      </c>
      <c r="G14" s="4">
        <v>217055</v>
      </c>
      <c r="H14" s="4">
        <v>102216</v>
      </c>
      <c r="I14" s="4">
        <v>0</v>
      </c>
      <c r="J14" s="4">
        <v>9300</v>
      </c>
      <c r="K14" s="4">
        <v>0</v>
      </c>
      <c r="M14" s="6">
        <f t="shared" si="0"/>
        <v>495221</v>
      </c>
      <c r="N14" s="6"/>
      <c r="O14" s="6">
        <f t="shared" si="1"/>
        <v>240483</v>
      </c>
      <c r="P14" s="6">
        <f t="shared" si="2"/>
        <v>254738</v>
      </c>
    </row>
    <row r="15" spans="1:17" x14ac:dyDescent="0.2">
      <c r="A15" t="s">
        <v>119</v>
      </c>
      <c r="B15" s="14" t="s">
        <v>139</v>
      </c>
      <c r="D15" s="4">
        <v>12945</v>
      </c>
      <c r="E15" s="4">
        <v>172578</v>
      </c>
      <c r="F15" s="4">
        <v>308166</v>
      </c>
      <c r="G15" s="4">
        <v>274294</v>
      </c>
      <c r="H15" s="4">
        <v>160455</v>
      </c>
      <c r="I15" s="4">
        <v>0</v>
      </c>
      <c r="J15" s="4">
        <v>0</v>
      </c>
      <c r="K15" s="4">
        <v>0</v>
      </c>
      <c r="M15" s="6">
        <f t="shared" si="0"/>
        <v>654144</v>
      </c>
      <c r="N15" s="6"/>
      <c r="O15" s="6">
        <f t="shared" si="1"/>
        <v>308166</v>
      </c>
      <c r="P15" s="6">
        <f t="shared" si="2"/>
        <v>345978</v>
      </c>
    </row>
    <row r="16" spans="1:17" x14ac:dyDescent="0.2">
      <c r="A16" t="s">
        <v>120</v>
      </c>
      <c r="B16" s="7">
        <v>0.1</v>
      </c>
      <c r="D16" s="4">
        <v>141000</v>
      </c>
      <c r="E16" s="4">
        <v>1148886</v>
      </c>
      <c r="F16" s="4">
        <v>2451585</v>
      </c>
      <c r="G16" s="4">
        <v>2128871</v>
      </c>
      <c r="H16" s="4">
        <v>1136738</v>
      </c>
      <c r="I16" s="4">
        <v>105802</v>
      </c>
      <c r="J16" s="4">
        <v>0</v>
      </c>
      <c r="K16" s="4">
        <v>0</v>
      </c>
      <c r="M16" s="6">
        <f t="shared" si="0"/>
        <v>4984011</v>
      </c>
      <c r="N16" s="6"/>
      <c r="O16" s="6">
        <f t="shared" si="1"/>
        <v>2557387</v>
      </c>
      <c r="P16" s="6">
        <f t="shared" si="2"/>
        <v>2426624</v>
      </c>
    </row>
    <row r="17" spans="1:16" x14ac:dyDescent="0.2">
      <c r="A17" t="s">
        <v>121</v>
      </c>
      <c r="B17" s="7">
        <v>0.09</v>
      </c>
      <c r="D17" s="4">
        <v>58208</v>
      </c>
      <c r="E17" s="4">
        <v>669898</v>
      </c>
      <c r="F17" s="4">
        <v>1273387</v>
      </c>
      <c r="G17" s="4">
        <v>1142881</v>
      </c>
      <c r="H17" s="4">
        <v>567026</v>
      </c>
      <c r="I17" s="4">
        <v>103539</v>
      </c>
      <c r="J17" s="4">
        <v>0</v>
      </c>
      <c r="K17" s="4">
        <v>0</v>
      </c>
      <c r="M17" s="6">
        <f t="shared" si="0"/>
        <v>2672058</v>
      </c>
      <c r="N17" s="6"/>
      <c r="O17" s="6">
        <f t="shared" si="1"/>
        <v>1376926</v>
      </c>
      <c r="P17" s="6">
        <f t="shared" si="2"/>
        <v>1295132</v>
      </c>
    </row>
    <row r="18" spans="1:16" x14ac:dyDescent="0.2">
      <c r="A18" t="s">
        <v>122</v>
      </c>
      <c r="B18" s="7">
        <v>0.14000000000000001</v>
      </c>
      <c r="D18" s="4">
        <v>40634</v>
      </c>
      <c r="E18" s="4">
        <v>342166</v>
      </c>
      <c r="F18" s="4">
        <v>452305</v>
      </c>
      <c r="G18" s="4">
        <v>404525</v>
      </c>
      <c r="H18" s="4">
        <v>197622</v>
      </c>
      <c r="I18" s="4">
        <v>31000</v>
      </c>
      <c r="J18" s="4">
        <v>4500</v>
      </c>
      <c r="K18" s="4">
        <v>0</v>
      </c>
      <c r="M18" s="6">
        <f t="shared" si="0"/>
        <v>1068227</v>
      </c>
      <c r="N18" s="6"/>
      <c r="O18" s="6">
        <f t="shared" si="1"/>
        <v>483305</v>
      </c>
      <c r="P18" s="6">
        <f t="shared" si="2"/>
        <v>584922</v>
      </c>
    </row>
    <row r="19" spans="1:16" x14ac:dyDescent="0.2">
      <c r="A19" t="s">
        <v>123</v>
      </c>
      <c r="B19" s="7">
        <v>0.17</v>
      </c>
      <c r="D19" s="4">
        <v>31672</v>
      </c>
      <c r="E19" s="4">
        <v>309720</v>
      </c>
      <c r="F19" s="4">
        <v>487372</v>
      </c>
      <c r="G19" s="4">
        <v>440984</v>
      </c>
      <c r="H19" s="4">
        <v>233495</v>
      </c>
      <c r="I19" s="4">
        <v>89042</v>
      </c>
      <c r="J19" s="4">
        <v>9421</v>
      </c>
      <c r="K19" s="4">
        <v>0</v>
      </c>
      <c r="M19" s="6">
        <f t="shared" si="0"/>
        <v>1160722</v>
      </c>
      <c r="N19" s="6"/>
      <c r="O19" s="6">
        <f t="shared" si="1"/>
        <v>576414</v>
      </c>
      <c r="P19" s="6">
        <f t="shared" si="2"/>
        <v>584308</v>
      </c>
    </row>
    <row r="20" spans="1:16" x14ac:dyDescent="0.2">
      <c r="A20" t="s">
        <v>124</v>
      </c>
      <c r="B20" s="14" t="s">
        <v>139</v>
      </c>
      <c r="D20" s="4">
        <v>35626</v>
      </c>
      <c r="E20" s="4">
        <v>397890</v>
      </c>
      <c r="F20" s="4">
        <v>940851</v>
      </c>
      <c r="G20" s="4">
        <v>839635</v>
      </c>
      <c r="H20" s="4">
        <v>372533</v>
      </c>
      <c r="I20" s="4">
        <v>0</v>
      </c>
      <c r="J20" s="4">
        <v>7800</v>
      </c>
      <c r="K20" s="4">
        <v>0</v>
      </c>
      <c r="M20" s="6">
        <f t="shared" si="0"/>
        <v>1754700</v>
      </c>
      <c r="N20" s="6"/>
      <c r="O20" s="6">
        <f t="shared" si="1"/>
        <v>940851</v>
      </c>
      <c r="P20" s="6">
        <f t="shared" si="2"/>
        <v>813849</v>
      </c>
    </row>
    <row r="21" spans="1:16" x14ac:dyDescent="0.2">
      <c r="A21" t="s">
        <v>125</v>
      </c>
      <c r="B21" s="16">
        <v>3.5000000000000003E-2</v>
      </c>
      <c r="D21" s="4">
        <v>52710</v>
      </c>
      <c r="E21" s="4">
        <v>400908</v>
      </c>
      <c r="F21" s="4">
        <v>1422469</v>
      </c>
      <c r="G21" s="4">
        <v>1273294</v>
      </c>
      <c r="H21" s="4">
        <v>456523</v>
      </c>
      <c r="I21" s="4">
        <v>47200</v>
      </c>
      <c r="J21" s="4">
        <v>18021</v>
      </c>
      <c r="K21" s="4">
        <v>0</v>
      </c>
      <c r="M21" s="6">
        <f t="shared" si="0"/>
        <v>2397831</v>
      </c>
      <c r="N21" s="6"/>
      <c r="O21" s="6">
        <f t="shared" si="1"/>
        <v>1469669</v>
      </c>
      <c r="P21" s="6">
        <f t="shared" si="2"/>
        <v>928162</v>
      </c>
    </row>
    <row r="22" spans="1:16" x14ac:dyDescent="0.2">
      <c r="A22" t="s">
        <v>0</v>
      </c>
      <c r="B22" s="7">
        <v>0.05</v>
      </c>
      <c r="D22" s="4">
        <v>13861</v>
      </c>
      <c r="E22" s="4">
        <v>111311</v>
      </c>
      <c r="F22" s="4">
        <v>205791</v>
      </c>
      <c r="G22" s="4">
        <v>178117</v>
      </c>
      <c r="H22" s="4">
        <v>71288</v>
      </c>
      <c r="I22" s="4">
        <v>2814</v>
      </c>
      <c r="J22" s="4">
        <v>3621</v>
      </c>
      <c r="K22" s="4">
        <v>0</v>
      </c>
      <c r="M22" s="6">
        <f t="shared" si="0"/>
        <v>408686</v>
      </c>
      <c r="N22" s="6"/>
      <c r="O22" s="6">
        <f t="shared" si="1"/>
        <v>208605</v>
      </c>
      <c r="P22" s="6">
        <f t="shared" si="2"/>
        <v>200081</v>
      </c>
    </row>
    <row r="23" spans="1:16" x14ac:dyDescent="0.2">
      <c r="A23" t="s">
        <v>1</v>
      </c>
      <c r="B23" s="54" t="s">
        <v>211</v>
      </c>
      <c r="D23" s="4">
        <v>100812</v>
      </c>
      <c r="E23" s="4">
        <v>507244</v>
      </c>
      <c r="F23" s="4">
        <v>930605</v>
      </c>
      <c r="G23" s="4">
        <v>805977</v>
      </c>
      <c r="H23" s="4">
        <v>414938</v>
      </c>
      <c r="I23" s="4">
        <v>86139</v>
      </c>
      <c r="J23" s="4">
        <v>4066</v>
      </c>
      <c r="K23" s="4">
        <v>6065</v>
      </c>
      <c r="M23" s="6">
        <f t="shared" si="0"/>
        <v>2049869</v>
      </c>
      <c r="N23" s="6"/>
      <c r="O23" s="6">
        <f t="shared" si="1"/>
        <v>1016744</v>
      </c>
      <c r="P23" s="6">
        <f t="shared" si="2"/>
        <v>1033125</v>
      </c>
    </row>
    <row r="24" spans="1:16" x14ac:dyDescent="0.2">
      <c r="A24" t="s">
        <v>2</v>
      </c>
      <c r="B24" s="7">
        <v>0.15</v>
      </c>
      <c r="D24" s="4">
        <v>80365</v>
      </c>
      <c r="E24" s="4">
        <v>531802</v>
      </c>
      <c r="F24" s="4">
        <v>809976</v>
      </c>
      <c r="G24" s="4">
        <v>712578</v>
      </c>
      <c r="H24" s="4">
        <v>293975</v>
      </c>
      <c r="I24" s="4">
        <v>117700</v>
      </c>
      <c r="J24" s="4">
        <v>0</v>
      </c>
      <c r="K24" s="4">
        <v>0</v>
      </c>
      <c r="M24" s="6">
        <f t="shared" si="0"/>
        <v>1833818</v>
      </c>
      <c r="N24" s="6"/>
      <c r="O24" s="6">
        <f t="shared" si="1"/>
        <v>927676</v>
      </c>
      <c r="P24" s="6">
        <f t="shared" si="2"/>
        <v>906142</v>
      </c>
    </row>
    <row r="25" spans="1:16" x14ac:dyDescent="0.2">
      <c r="A25" t="s">
        <v>3</v>
      </c>
      <c r="B25" s="7">
        <v>0.06</v>
      </c>
      <c r="D25" s="4">
        <v>77350</v>
      </c>
      <c r="E25" s="4">
        <v>866487</v>
      </c>
      <c r="F25" s="4">
        <v>1942605</v>
      </c>
      <c r="G25" s="4">
        <v>1698554</v>
      </c>
      <c r="H25" s="4">
        <v>715818</v>
      </c>
      <c r="I25" s="4">
        <v>360000</v>
      </c>
      <c r="J25" s="4">
        <v>0</v>
      </c>
      <c r="K25" s="4">
        <v>0</v>
      </c>
      <c r="M25" s="6">
        <f t="shared" si="0"/>
        <v>3962260</v>
      </c>
      <c r="N25" s="6"/>
      <c r="O25" s="6">
        <f t="shared" si="1"/>
        <v>2302605</v>
      </c>
      <c r="P25" s="6">
        <f t="shared" si="2"/>
        <v>1659655</v>
      </c>
    </row>
    <row r="26" spans="1:16" x14ac:dyDescent="0.2">
      <c r="A26" t="s">
        <v>4</v>
      </c>
      <c r="B26" s="7">
        <v>0.33</v>
      </c>
      <c r="D26" s="4">
        <v>70027</v>
      </c>
      <c r="E26" s="4">
        <v>563360</v>
      </c>
      <c r="F26" s="4">
        <v>718338</v>
      </c>
      <c r="G26" s="4">
        <v>635633</v>
      </c>
      <c r="H26" s="4">
        <v>331443</v>
      </c>
      <c r="I26" s="4">
        <v>201100</v>
      </c>
      <c r="J26" s="4">
        <v>14000</v>
      </c>
      <c r="K26" s="4">
        <v>14600</v>
      </c>
      <c r="M26" s="6">
        <f t="shared" si="0"/>
        <v>1912868</v>
      </c>
      <c r="N26" s="6"/>
      <c r="O26" s="6">
        <f t="shared" si="1"/>
        <v>919438</v>
      </c>
      <c r="P26" s="6">
        <f t="shared" si="2"/>
        <v>993430</v>
      </c>
    </row>
    <row r="27" spans="1:16" x14ac:dyDescent="0.2">
      <c r="A27" t="s">
        <v>5</v>
      </c>
      <c r="B27" s="14" t="s">
        <v>139</v>
      </c>
      <c r="D27" s="4">
        <v>33835</v>
      </c>
      <c r="E27" s="4">
        <v>242946</v>
      </c>
      <c r="F27" s="4">
        <v>1096524</v>
      </c>
      <c r="G27" s="4">
        <v>991581</v>
      </c>
      <c r="H27" s="4">
        <v>362519</v>
      </c>
      <c r="I27" s="4">
        <v>0</v>
      </c>
      <c r="J27" s="4">
        <v>0</v>
      </c>
      <c r="K27" s="4">
        <v>0</v>
      </c>
      <c r="M27" s="6">
        <f t="shared" si="0"/>
        <v>1735824</v>
      </c>
      <c r="N27" s="6"/>
      <c r="O27" s="6">
        <f t="shared" si="1"/>
        <v>1096524</v>
      </c>
      <c r="P27" s="6">
        <f t="shared" si="2"/>
        <v>639300</v>
      </c>
    </row>
    <row r="28" spans="1:16" x14ac:dyDescent="0.2">
      <c r="A28" t="s">
        <v>6</v>
      </c>
      <c r="B28" s="14" t="s">
        <v>139</v>
      </c>
      <c r="D28" s="4">
        <v>60393</v>
      </c>
      <c r="E28" s="4">
        <v>552726</v>
      </c>
      <c r="F28" s="4">
        <v>1222335</v>
      </c>
      <c r="G28" s="4">
        <v>1096500</v>
      </c>
      <c r="H28" s="4">
        <v>465728</v>
      </c>
      <c r="I28" s="4">
        <v>0</v>
      </c>
      <c r="J28" s="4">
        <v>0</v>
      </c>
      <c r="K28" s="4">
        <v>0</v>
      </c>
      <c r="M28" s="6">
        <f t="shared" si="0"/>
        <v>2301182</v>
      </c>
      <c r="N28" s="6"/>
      <c r="O28" s="6">
        <f t="shared" si="1"/>
        <v>1222335</v>
      </c>
      <c r="P28" s="6">
        <f t="shared" si="2"/>
        <v>1078847</v>
      </c>
    </row>
    <row r="29" spans="1:16" x14ac:dyDescent="0.2">
      <c r="A29" t="s">
        <v>7</v>
      </c>
      <c r="B29" s="14" t="s">
        <v>139</v>
      </c>
      <c r="D29" s="4">
        <v>8073</v>
      </c>
      <c r="E29" s="4">
        <v>93835</v>
      </c>
      <c r="F29" s="4">
        <v>169861</v>
      </c>
      <c r="G29" s="4">
        <v>150503</v>
      </c>
      <c r="H29" s="4">
        <v>66059</v>
      </c>
      <c r="I29" s="4">
        <v>0</v>
      </c>
      <c r="J29" s="4">
        <v>0</v>
      </c>
      <c r="K29" s="4">
        <v>0</v>
      </c>
      <c r="M29" s="6">
        <f t="shared" si="0"/>
        <v>337828</v>
      </c>
      <c r="N29" s="6"/>
      <c r="O29" s="6">
        <f t="shared" si="1"/>
        <v>169861</v>
      </c>
      <c r="P29" s="6">
        <f t="shared" si="2"/>
        <v>167967</v>
      </c>
    </row>
    <row r="30" spans="1:16" x14ac:dyDescent="0.2">
      <c r="A30" t="s">
        <v>8</v>
      </c>
      <c r="B30" s="7">
        <v>0.1</v>
      </c>
      <c r="D30" s="4">
        <v>27243</v>
      </c>
      <c r="E30" s="4">
        <v>213003</v>
      </c>
      <c r="F30" s="4">
        <v>303218</v>
      </c>
      <c r="G30" s="4">
        <v>272359</v>
      </c>
      <c r="H30" s="4">
        <v>140994</v>
      </c>
      <c r="I30" s="4">
        <v>29000</v>
      </c>
      <c r="J30" s="4">
        <v>5600</v>
      </c>
      <c r="K30" s="4">
        <v>0</v>
      </c>
      <c r="M30" s="6">
        <f t="shared" si="0"/>
        <v>719058</v>
      </c>
      <c r="N30" s="6"/>
      <c r="O30" s="6">
        <f t="shared" si="1"/>
        <v>332218</v>
      </c>
      <c r="P30" s="6">
        <f t="shared" si="2"/>
        <v>386840</v>
      </c>
    </row>
    <row r="31" spans="1:16" x14ac:dyDescent="0.2">
      <c r="A31" t="s">
        <v>92</v>
      </c>
      <c r="B31" s="14" t="s">
        <v>139</v>
      </c>
      <c r="D31" s="4">
        <v>30052</v>
      </c>
      <c r="E31" s="4">
        <v>257648</v>
      </c>
      <c r="F31" s="4">
        <v>553790</v>
      </c>
      <c r="G31" s="4">
        <v>491680</v>
      </c>
      <c r="H31" s="4">
        <v>312061</v>
      </c>
      <c r="I31" s="4">
        <v>0</v>
      </c>
      <c r="J31" s="4">
        <v>0</v>
      </c>
      <c r="K31" s="4">
        <v>0</v>
      </c>
      <c r="M31" s="6">
        <f t="shared" si="0"/>
        <v>1153551</v>
      </c>
      <c r="N31" s="6"/>
      <c r="O31" s="6">
        <f t="shared" si="1"/>
        <v>553790</v>
      </c>
      <c r="P31" s="6">
        <f t="shared" si="2"/>
        <v>599761</v>
      </c>
    </row>
    <row r="32" spans="1:16" x14ac:dyDescent="0.2">
      <c r="A32" t="s">
        <v>9</v>
      </c>
      <c r="B32" s="14" t="s">
        <v>139</v>
      </c>
      <c r="D32" s="4">
        <v>15531</v>
      </c>
      <c r="E32" s="4">
        <v>124839</v>
      </c>
      <c r="F32" s="4">
        <v>153548</v>
      </c>
      <c r="G32" s="4">
        <v>133164</v>
      </c>
      <c r="H32" s="4">
        <v>56054</v>
      </c>
      <c r="I32" s="4">
        <v>0</v>
      </c>
      <c r="J32" s="4">
        <v>0</v>
      </c>
      <c r="K32" s="4">
        <v>0</v>
      </c>
      <c r="M32" s="6">
        <f t="shared" si="0"/>
        <v>349972</v>
      </c>
      <c r="N32" s="6"/>
      <c r="O32" s="6">
        <f t="shared" si="1"/>
        <v>153548</v>
      </c>
      <c r="P32" s="6">
        <f t="shared" si="2"/>
        <v>196424</v>
      </c>
    </row>
    <row r="33" spans="1:16" x14ac:dyDescent="0.2">
      <c r="A33" t="s">
        <v>10</v>
      </c>
      <c r="B33" s="7">
        <v>0.2</v>
      </c>
      <c r="D33" s="4">
        <v>129649</v>
      </c>
      <c r="E33" s="4">
        <v>717429</v>
      </c>
      <c r="F33" s="4">
        <v>1302425</v>
      </c>
      <c r="G33" s="4">
        <v>1125835</v>
      </c>
      <c r="H33" s="4">
        <v>568584</v>
      </c>
      <c r="I33" s="4">
        <v>199100</v>
      </c>
      <c r="J33" s="4">
        <v>0</v>
      </c>
      <c r="K33" s="4">
        <v>0</v>
      </c>
      <c r="M33" s="6">
        <f t="shared" si="0"/>
        <v>2917187</v>
      </c>
      <c r="N33" s="6"/>
      <c r="O33" s="6">
        <f t="shared" si="1"/>
        <v>1501525</v>
      </c>
      <c r="P33" s="6">
        <f t="shared" si="2"/>
        <v>1415662</v>
      </c>
    </row>
    <row r="34" spans="1:16" x14ac:dyDescent="0.2">
      <c r="A34" t="s">
        <v>11</v>
      </c>
      <c r="B34" s="7">
        <v>0.1</v>
      </c>
      <c r="D34" s="4">
        <v>13188</v>
      </c>
      <c r="E34" s="4">
        <v>181983</v>
      </c>
      <c r="F34" s="4">
        <v>511475</v>
      </c>
      <c r="G34" s="4">
        <v>464959</v>
      </c>
      <c r="H34" s="4">
        <v>203410</v>
      </c>
      <c r="I34" s="4">
        <v>48868</v>
      </c>
      <c r="J34" s="4">
        <v>390</v>
      </c>
      <c r="K34">
        <f>1014+1549</f>
        <v>2563</v>
      </c>
      <c r="M34" s="6">
        <f t="shared" si="0"/>
        <v>961877</v>
      </c>
      <c r="N34" s="6"/>
      <c r="O34" s="6">
        <f t="shared" si="1"/>
        <v>560343</v>
      </c>
      <c r="P34" s="6">
        <f t="shared" si="2"/>
        <v>401534</v>
      </c>
    </row>
    <row r="35" spans="1:16" x14ac:dyDescent="0.2">
      <c r="A35" t="s">
        <v>12</v>
      </c>
      <c r="B35" s="7">
        <v>0.3</v>
      </c>
      <c r="C35" s="23" t="s">
        <v>149</v>
      </c>
      <c r="D35" s="4">
        <v>252855</v>
      </c>
      <c r="E35" s="4">
        <v>1409492</v>
      </c>
      <c r="F35" s="4">
        <v>3989000</v>
      </c>
      <c r="G35" s="4">
        <v>3395515</v>
      </c>
      <c r="H35" s="4">
        <v>1442451</v>
      </c>
      <c r="I35" s="4">
        <f>993600+97300+3600</f>
        <v>1094500</v>
      </c>
      <c r="J35" s="4">
        <v>193600</v>
      </c>
      <c r="K35" s="4">
        <v>671300</v>
      </c>
      <c r="M35" s="6">
        <f t="shared" si="0"/>
        <v>9053198</v>
      </c>
      <c r="N35" s="6"/>
      <c r="O35" s="6">
        <f t="shared" si="1"/>
        <v>5083500</v>
      </c>
      <c r="P35" s="6">
        <f t="shared" si="2"/>
        <v>3969698</v>
      </c>
    </row>
    <row r="36" spans="1:16" x14ac:dyDescent="0.2">
      <c r="A36" t="s">
        <v>13</v>
      </c>
      <c r="B36" s="16">
        <v>0.05</v>
      </c>
      <c r="D36" s="4">
        <v>105724</v>
      </c>
      <c r="E36" s="4">
        <v>824764</v>
      </c>
      <c r="F36" s="4">
        <v>2249232</v>
      </c>
      <c r="G36" s="4">
        <v>2008818</v>
      </c>
      <c r="H36" s="4">
        <v>1009743</v>
      </c>
      <c r="I36" s="4">
        <v>102500</v>
      </c>
      <c r="J36" s="4">
        <v>0</v>
      </c>
      <c r="K36" s="4">
        <v>0</v>
      </c>
      <c r="M36" s="6">
        <f t="shared" si="0"/>
        <v>4291963</v>
      </c>
      <c r="N36" s="6"/>
      <c r="O36" s="6">
        <f t="shared" si="1"/>
        <v>2351732</v>
      </c>
      <c r="P36" s="6">
        <f t="shared" si="2"/>
        <v>1940231</v>
      </c>
    </row>
    <row r="37" spans="1:16" x14ac:dyDescent="0.2">
      <c r="A37" t="s">
        <v>14</v>
      </c>
      <c r="B37" s="14" t="s">
        <v>139</v>
      </c>
      <c r="D37" s="4">
        <v>10842</v>
      </c>
      <c r="E37" s="4">
        <v>79569</v>
      </c>
      <c r="F37" s="4">
        <v>87796</v>
      </c>
      <c r="G37" s="4">
        <v>78960</v>
      </c>
      <c r="H37" s="4">
        <v>35993</v>
      </c>
      <c r="I37" s="4">
        <v>0</v>
      </c>
      <c r="J37" s="4">
        <v>0</v>
      </c>
      <c r="K37" s="4">
        <v>0</v>
      </c>
      <c r="M37" s="6">
        <f t="shared" si="0"/>
        <v>214200</v>
      </c>
      <c r="N37" s="6"/>
      <c r="O37" s="6">
        <f t="shared" si="1"/>
        <v>87796</v>
      </c>
      <c r="P37" s="6">
        <f t="shared" si="2"/>
        <v>126404</v>
      </c>
    </row>
    <row r="38" spans="1:16" x14ac:dyDescent="0.2">
      <c r="A38" t="s">
        <v>15</v>
      </c>
      <c r="D38" s="4">
        <v>83096</v>
      </c>
      <c r="E38" s="4">
        <v>1088968</v>
      </c>
      <c r="F38" s="4">
        <v>2236340</v>
      </c>
      <c r="G38" s="4">
        <v>1995876</v>
      </c>
      <c r="H38" s="4">
        <v>829980</v>
      </c>
      <c r="I38" s="4">
        <v>0</v>
      </c>
      <c r="J38" s="4">
        <v>6300</v>
      </c>
      <c r="K38" s="4">
        <v>2500</v>
      </c>
      <c r="M38" s="6">
        <f t="shared" si="0"/>
        <v>4247184</v>
      </c>
      <c r="N38" s="6"/>
      <c r="O38" s="6">
        <f t="shared" si="1"/>
        <v>2236340</v>
      </c>
      <c r="P38" s="6">
        <f t="shared" si="2"/>
        <v>2010844</v>
      </c>
    </row>
    <row r="39" spans="1:16" x14ac:dyDescent="0.2">
      <c r="A39" t="s">
        <v>16</v>
      </c>
      <c r="B39" s="7">
        <v>0.05</v>
      </c>
      <c r="D39" s="4">
        <v>30894</v>
      </c>
      <c r="E39" s="4">
        <v>371039</v>
      </c>
      <c r="F39" s="4">
        <v>822032</v>
      </c>
      <c r="G39" s="4">
        <v>734543</v>
      </c>
      <c r="H39" s="4">
        <v>355098</v>
      </c>
      <c r="I39" s="4">
        <v>39126</v>
      </c>
      <c r="J39" s="4">
        <v>27398</v>
      </c>
      <c r="K39" s="4">
        <v>61</v>
      </c>
      <c r="L39" s="4"/>
      <c r="M39" s="6">
        <f t="shared" si="0"/>
        <v>1645648</v>
      </c>
      <c r="N39" s="6"/>
      <c r="O39" s="6">
        <f t="shared" si="1"/>
        <v>861158</v>
      </c>
      <c r="P39" s="6">
        <f t="shared" si="2"/>
        <v>784490</v>
      </c>
    </row>
    <row r="40" spans="1:16" x14ac:dyDescent="0.2">
      <c r="A40" t="s">
        <v>17</v>
      </c>
      <c r="B40" s="7">
        <v>0.06</v>
      </c>
      <c r="D40" s="4">
        <v>31584</v>
      </c>
      <c r="E40" s="4">
        <v>325707</v>
      </c>
      <c r="F40" s="4">
        <v>586432</v>
      </c>
      <c r="G40" s="4">
        <v>520147</v>
      </c>
      <c r="H40" s="4">
        <v>285024</v>
      </c>
      <c r="I40" s="4">
        <f>61800/2</f>
        <v>30900</v>
      </c>
      <c r="J40" s="4">
        <v>7650</v>
      </c>
      <c r="K40" s="4">
        <f>(8200/2)+(42900/2)</f>
        <v>25550</v>
      </c>
      <c r="L40" s="4"/>
      <c r="M40" s="6">
        <f t="shared" si="0"/>
        <v>1292847</v>
      </c>
      <c r="N40" s="6"/>
      <c r="O40" s="6">
        <f t="shared" si="1"/>
        <v>617332</v>
      </c>
      <c r="P40" s="6">
        <f t="shared" si="2"/>
        <v>675515</v>
      </c>
    </row>
    <row r="41" spans="1:16" x14ac:dyDescent="0.2">
      <c r="A41" t="s">
        <v>18</v>
      </c>
      <c r="B41" s="14" t="s">
        <v>139</v>
      </c>
      <c r="D41" s="4">
        <v>121757</v>
      </c>
      <c r="E41" s="4">
        <v>1119996</v>
      </c>
      <c r="F41" s="4">
        <v>1976028</v>
      </c>
      <c r="G41" s="4">
        <v>1772734</v>
      </c>
      <c r="H41" s="4">
        <v>737807</v>
      </c>
      <c r="I41" s="4">
        <v>0</v>
      </c>
      <c r="J41" s="4">
        <v>0</v>
      </c>
      <c r="K41" s="4">
        <v>0</v>
      </c>
      <c r="L41" s="4"/>
      <c r="M41" s="6">
        <f t="shared" si="0"/>
        <v>3955588</v>
      </c>
      <c r="N41" s="6"/>
      <c r="O41" s="6">
        <f t="shared" si="1"/>
        <v>1976028</v>
      </c>
      <c r="P41" s="6">
        <f t="shared" si="2"/>
        <v>1979560</v>
      </c>
    </row>
    <row r="42" spans="1:16" x14ac:dyDescent="0.2">
      <c r="A42" t="s">
        <v>19</v>
      </c>
      <c r="B42" s="7">
        <v>0.25</v>
      </c>
      <c r="D42" s="4">
        <v>9706</v>
      </c>
      <c r="E42" s="4">
        <v>85768</v>
      </c>
      <c r="F42" s="4">
        <v>181446</v>
      </c>
      <c r="G42" s="4">
        <v>160394</v>
      </c>
      <c r="H42" s="4">
        <v>62890</v>
      </c>
      <c r="I42" s="4">
        <v>12265</v>
      </c>
      <c r="J42" s="4">
        <v>2225</v>
      </c>
      <c r="K42" s="4">
        <v>0</v>
      </c>
      <c r="M42" s="6">
        <f t="shared" si="0"/>
        <v>354300</v>
      </c>
      <c r="N42" s="6"/>
      <c r="O42" s="6">
        <f t="shared" si="1"/>
        <v>193711</v>
      </c>
      <c r="P42" s="6">
        <f t="shared" si="2"/>
        <v>160589</v>
      </c>
    </row>
    <row r="43" spans="1:16" x14ac:dyDescent="0.2">
      <c r="A43" t="s">
        <v>20</v>
      </c>
      <c r="B43" s="14" t="s">
        <v>139</v>
      </c>
      <c r="D43" s="4">
        <v>53455</v>
      </c>
      <c r="E43" s="4">
        <v>387569</v>
      </c>
      <c r="F43" s="4">
        <v>1222899</v>
      </c>
      <c r="G43" s="4">
        <v>1101758</v>
      </c>
      <c r="H43" s="4">
        <v>478959</v>
      </c>
      <c r="I43" s="4">
        <v>0</v>
      </c>
      <c r="J43" s="55" t="s">
        <v>210</v>
      </c>
      <c r="K43" s="4">
        <v>0</v>
      </c>
      <c r="M43" s="58">
        <f>+D43+E43+F43+H43+I43+K43</f>
        <v>2142882</v>
      </c>
      <c r="N43" s="58"/>
      <c r="O43" s="6">
        <f t="shared" si="1"/>
        <v>1222899</v>
      </c>
      <c r="P43" s="6">
        <f>+D43+E43+H43+K43</f>
        <v>919983</v>
      </c>
    </row>
    <row r="44" spans="1:16" x14ac:dyDescent="0.2">
      <c r="A44" t="s">
        <v>21</v>
      </c>
      <c r="B44" s="14" t="s">
        <v>139</v>
      </c>
      <c r="D44" s="4">
        <v>13618</v>
      </c>
      <c r="E44" s="4">
        <v>92594</v>
      </c>
      <c r="F44" s="4">
        <v>138866</v>
      </c>
      <c r="G44" s="4">
        <v>126062</v>
      </c>
      <c r="H44" s="4">
        <v>59685</v>
      </c>
      <c r="I44" s="4">
        <v>0</v>
      </c>
      <c r="J44" s="4">
        <v>0</v>
      </c>
      <c r="K44" s="4">
        <v>0</v>
      </c>
      <c r="M44" s="6">
        <f t="shared" si="0"/>
        <v>304763</v>
      </c>
      <c r="N44" s="6"/>
      <c r="O44" s="6">
        <f t="shared" si="1"/>
        <v>138866</v>
      </c>
      <c r="P44" s="6">
        <f t="shared" si="2"/>
        <v>165897</v>
      </c>
    </row>
    <row r="45" spans="1:16" x14ac:dyDescent="0.2">
      <c r="A45" t="s">
        <v>22</v>
      </c>
      <c r="B45" s="14" t="s">
        <v>139</v>
      </c>
      <c r="D45" s="4">
        <v>62612</v>
      </c>
      <c r="E45" s="4">
        <v>546921</v>
      </c>
      <c r="F45" s="4">
        <v>1612235</v>
      </c>
      <c r="G45" s="4">
        <v>1417816</v>
      </c>
      <c r="H45" s="4">
        <v>649914</v>
      </c>
      <c r="I45" s="4">
        <v>0</v>
      </c>
      <c r="J45" s="4">
        <v>0</v>
      </c>
      <c r="K45" s="4">
        <v>0</v>
      </c>
      <c r="M45" s="6">
        <f t="shared" si="0"/>
        <v>2871682</v>
      </c>
      <c r="N45" s="6"/>
      <c r="O45" s="6">
        <f t="shared" si="1"/>
        <v>1612235</v>
      </c>
      <c r="P45" s="6">
        <f t="shared" si="2"/>
        <v>1259447</v>
      </c>
    </row>
    <row r="46" spans="1:16" x14ac:dyDescent="0.2">
      <c r="A46" t="s">
        <v>23</v>
      </c>
      <c r="B46" s="14" t="s">
        <v>139</v>
      </c>
      <c r="D46" s="4">
        <v>306677</v>
      </c>
      <c r="E46" s="4">
        <v>2503989</v>
      </c>
      <c r="F46" s="4">
        <v>6923938</v>
      </c>
      <c r="G46" s="4">
        <v>6051575</v>
      </c>
      <c r="H46" s="4">
        <v>2975874</v>
      </c>
      <c r="I46" s="4">
        <v>0</v>
      </c>
      <c r="J46" s="4">
        <v>0</v>
      </c>
      <c r="K46" s="4">
        <v>0</v>
      </c>
      <c r="M46" s="6">
        <f t="shared" si="0"/>
        <v>12710478</v>
      </c>
      <c r="N46" s="6"/>
      <c r="O46" s="6">
        <f t="shared" si="1"/>
        <v>6923938</v>
      </c>
      <c r="P46" s="6">
        <f t="shared" si="2"/>
        <v>5786540</v>
      </c>
    </row>
    <row r="47" spans="1:16" x14ac:dyDescent="0.2">
      <c r="A47" t="s">
        <v>24</v>
      </c>
      <c r="B47" s="14" t="s">
        <v>139</v>
      </c>
      <c r="D47" s="4">
        <v>17518</v>
      </c>
      <c r="E47" s="4">
        <v>401369</v>
      </c>
      <c r="F47" s="4">
        <v>456422</v>
      </c>
      <c r="G47" s="4">
        <v>408985</v>
      </c>
      <c r="H47" s="4">
        <v>346003</v>
      </c>
      <c r="I47" s="4">
        <v>0</v>
      </c>
      <c r="J47" s="4">
        <v>0</v>
      </c>
      <c r="K47" s="4">
        <v>0</v>
      </c>
      <c r="M47" s="6">
        <f t="shared" si="0"/>
        <v>1221312</v>
      </c>
      <c r="N47" s="6"/>
      <c r="O47" s="6">
        <f t="shared" si="1"/>
        <v>456422</v>
      </c>
      <c r="P47" s="6">
        <f t="shared" si="2"/>
        <v>764890</v>
      </c>
    </row>
    <row r="48" spans="1:16" x14ac:dyDescent="0.2">
      <c r="A48" t="s">
        <v>25</v>
      </c>
      <c r="B48" s="7">
        <v>0.32</v>
      </c>
      <c r="D48" s="4">
        <v>7044</v>
      </c>
      <c r="E48" s="4">
        <v>55850</v>
      </c>
      <c r="F48" s="4">
        <v>85885</v>
      </c>
      <c r="G48" s="4">
        <v>73383</v>
      </c>
      <c r="H48" s="4">
        <v>30377</v>
      </c>
      <c r="I48" s="4">
        <v>25566</v>
      </c>
      <c r="J48" s="4">
        <v>1656</v>
      </c>
      <c r="K48" s="4">
        <v>0</v>
      </c>
      <c r="M48" s="6">
        <f t="shared" si="0"/>
        <v>206378</v>
      </c>
      <c r="N48" s="6"/>
      <c r="O48" s="6">
        <f t="shared" si="1"/>
        <v>111451</v>
      </c>
      <c r="P48" s="6">
        <f t="shared" si="2"/>
        <v>94927</v>
      </c>
    </row>
    <row r="49" spans="1:16" x14ac:dyDescent="0.2">
      <c r="A49" t="s">
        <v>26</v>
      </c>
      <c r="B49" s="7">
        <v>0.2</v>
      </c>
      <c r="D49" s="4">
        <v>107355</v>
      </c>
      <c r="E49" s="4">
        <v>722633</v>
      </c>
      <c r="F49" s="4">
        <v>1373900</v>
      </c>
      <c r="G49" s="4">
        <v>1223237</v>
      </c>
      <c r="H49" s="4">
        <v>576724</v>
      </c>
      <c r="I49" s="4">
        <f>+F49*0.2</f>
        <v>274780</v>
      </c>
      <c r="J49" s="4">
        <v>0</v>
      </c>
      <c r="K49" s="4">
        <v>0</v>
      </c>
      <c r="M49" s="6">
        <f t="shared" si="0"/>
        <v>3055392</v>
      </c>
      <c r="N49" s="6"/>
      <c r="O49" s="6">
        <f t="shared" si="1"/>
        <v>1648680</v>
      </c>
      <c r="P49" s="6">
        <f t="shared" si="2"/>
        <v>1406712</v>
      </c>
    </row>
    <row r="50" spans="1:16" x14ac:dyDescent="0.2">
      <c r="A50" t="s">
        <v>27</v>
      </c>
      <c r="B50" s="14" t="s">
        <v>139</v>
      </c>
      <c r="D50" s="4">
        <v>62365</v>
      </c>
      <c r="E50" s="4">
        <v>657145</v>
      </c>
      <c r="F50" s="4">
        <v>957018</v>
      </c>
      <c r="G50" s="4">
        <v>853863</v>
      </c>
      <c r="H50" s="4">
        <v>505811</v>
      </c>
      <c r="I50" s="4">
        <v>0</v>
      </c>
      <c r="J50" s="4">
        <v>0</v>
      </c>
      <c r="K50" s="4">
        <v>0</v>
      </c>
      <c r="M50" s="6">
        <f t="shared" si="0"/>
        <v>2182339</v>
      </c>
      <c r="N50" s="6"/>
      <c r="O50" s="6">
        <f t="shared" si="1"/>
        <v>957018</v>
      </c>
      <c r="P50" s="6">
        <f t="shared" si="2"/>
        <v>1225321</v>
      </c>
    </row>
    <row r="51" spans="1:16" x14ac:dyDescent="0.2">
      <c r="A51" t="s">
        <v>28</v>
      </c>
      <c r="B51" s="14" t="s">
        <v>139</v>
      </c>
      <c r="D51" s="4">
        <v>8358</v>
      </c>
      <c r="E51" s="4">
        <v>161525</v>
      </c>
      <c r="F51" s="4">
        <v>341134</v>
      </c>
      <c r="G51" s="4">
        <v>312039</v>
      </c>
      <c r="H51" s="4">
        <v>113022</v>
      </c>
      <c r="I51" s="4">
        <v>0</v>
      </c>
      <c r="J51" s="4">
        <v>0</v>
      </c>
      <c r="K51" s="4">
        <v>0</v>
      </c>
      <c r="M51" s="6">
        <f t="shared" si="0"/>
        <v>624039</v>
      </c>
      <c r="N51" s="6"/>
      <c r="O51" s="6">
        <f t="shared" si="1"/>
        <v>341134</v>
      </c>
      <c r="P51" s="6">
        <f t="shared" si="2"/>
        <v>282905</v>
      </c>
    </row>
    <row r="52" spans="1:16" x14ac:dyDescent="0.2">
      <c r="A52" t="s">
        <v>29</v>
      </c>
      <c r="B52" s="54" t="s">
        <v>211</v>
      </c>
      <c r="D52" s="4">
        <v>48688</v>
      </c>
      <c r="E52" s="4">
        <v>587247</v>
      </c>
      <c r="F52" s="4">
        <v>833561</v>
      </c>
      <c r="G52" s="4">
        <v>743494</v>
      </c>
      <c r="H52" s="4">
        <v>393310</v>
      </c>
      <c r="I52" s="4">
        <v>102000</v>
      </c>
      <c r="J52" s="4">
        <v>0</v>
      </c>
      <c r="K52" s="4">
        <v>0</v>
      </c>
      <c r="M52" s="6">
        <f t="shared" si="0"/>
        <v>1964806</v>
      </c>
      <c r="N52" s="6"/>
      <c r="O52" s="6">
        <f t="shared" si="1"/>
        <v>935561</v>
      </c>
      <c r="P52" s="6">
        <f t="shared" si="2"/>
        <v>1029245</v>
      </c>
    </row>
    <row r="53" spans="1:16" x14ac:dyDescent="0.2">
      <c r="A53" t="s">
        <v>30</v>
      </c>
      <c r="B53" s="14" t="s">
        <v>139</v>
      </c>
      <c r="D53" s="4">
        <v>5751</v>
      </c>
      <c r="E53" s="4">
        <v>69502</v>
      </c>
      <c r="F53" s="4">
        <v>81641</v>
      </c>
      <c r="G53" s="4">
        <v>73724</v>
      </c>
      <c r="H53" s="4">
        <v>36431</v>
      </c>
      <c r="I53" s="4">
        <v>0</v>
      </c>
      <c r="J53" s="4">
        <v>0</v>
      </c>
      <c r="K53" s="4">
        <v>0</v>
      </c>
      <c r="M53" s="6">
        <f t="shared" si="0"/>
        <v>193325</v>
      </c>
      <c r="N53" s="6"/>
      <c r="O53" s="6">
        <f t="shared" si="1"/>
        <v>81641</v>
      </c>
      <c r="P53" s="6">
        <f t="shared" si="2"/>
        <v>111684</v>
      </c>
    </row>
    <row r="55" spans="1:16" x14ac:dyDescent="0.2">
      <c r="A55" t="s">
        <v>32</v>
      </c>
      <c r="M55" s="6">
        <f>SUM(M4:M54)</f>
        <v>126309995.59999999</v>
      </c>
      <c r="N55" s="6"/>
      <c r="O55" s="6">
        <f t="shared" ref="O55:P55" si="3">SUM(O4:O54)</f>
        <v>67163190</v>
      </c>
      <c r="P55" s="6">
        <f t="shared" si="3"/>
        <v>59146805.600000001</v>
      </c>
    </row>
  </sheetData>
  <phoneticPr fontId="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tabColor rgb="FFCCFF33"/>
    <pageSetUpPr fitToPage="1"/>
  </sheetPr>
  <dimension ref="A1:T56"/>
  <sheetViews>
    <sheetView workbookViewId="0">
      <selection activeCell="M35" sqref="M35"/>
    </sheetView>
  </sheetViews>
  <sheetFormatPr baseColWidth="10" defaultColWidth="8.83203125" defaultRowHeight="15" x14ac:dyDescent="0.2"/>
  <cols>
    <col min="1" max="1" width="18.33203125" customWidth="1"/>
    <col min="2" max="20" width="12.6640625" customWidth="1"/>
    <col min="21" max="21" width="7.1640625" customWidth="1"/>
  </cols>
  <sheetData>
    <row r="1" spans="1:20" s="11" customFormat="1" ht="120" customHeight="1" thickBot="1" x14ac:dyDescent="0.25">
      <c r="A1" s="115"/>
      <c r="B1" s="116" t="str">
        <f>+Summary!B1</f>
        <v>K-12 Educ</v>
      </c>
      <c r="C1" s="116" t="str">
        <f>+Summary!C1</f>
        <v>Preschool</v>
      </c>
      <c r="D1" s="116" t="str">
        <f>+Summary!D1</f>
        <v>Head Start &amp; Early Intervention</v>
      </c>
      <c r="E1" s="116" t="str">
        <f>+Summary!E1</f>
        <v>Medicaid (including costs of disabled children)</v>
      </c>
      <c r="F1" s="116" t="str">
        <f>+Summary!F1</f>
        <v>CHIP</v>
      </c>
      <c r="G1" s="116" t="str">
        <f>+Summary!G1</f>
        <v>Mental Health Programs</v>
      </c>
      <c r="H1" s="116" t="str">
        <f>+Summary!H1</f>
        <v>Immun-izations</v>
      </c>
      <c r="I1" s="116" t="str">
        <f>+Summary!I1</f>
        <v>Maternal &amp; Child Health Block Grant</v>
      </c>
      <c r="J1" s="116" t="str">
        <f>+Summary!J1</f>
        <v>Foster Care, Adoption Assistance, Guardianship (Title IV-E)</v>
      </c>
      <c r="K1" s="116" t="str">
        <f>+Summary!K1</f>
        <v xml:space="preserve">Child Welfare State and Local Share </v>
      </c>
      <c r="L1" s="116" t="str">
        <f>+Summary!L1</f>
        <v>Child Care &amp; Dev Fund</v>
      </c>
      <c r="M1" s="116" t="str">
        <f>+Summary!M1</f>
        <v>Child Welfare Services &amp; Promoting Safe and Stable Families           Title IV-B</v>
      </c>
      <c r="N1" s="116" t="str">
        <f>+Summary!N1</f>
        <v>Child Support Enforcement    Title IV-D</v>
      </c>
      <c r="O1" s="116" t="str">
        <f>+Summary!O1</f>
        <v>Child Welfare - TITLE XX</v>
      </c>
      <c r="P1" s="116" t="str">
        <f>+Summary!P1</f>
        <v>TANF</v>
      </c>
      <c r="Q1" s="116" t="str">
        <f>+Summary!Q1</f>
        <v>Nutrition (SNAP, WIC, CACFP)</v>
      </c>
      <c r="R1" s="116" t="str">
        <f>+Summary!R1</f>
        <v>Juvenile Justice</v>
      </c>
      <c r="S1" s="116" t="str">
        <f>+Summary!S1</f>
        <v>Tax Credits</v>
      </c>
      <c r="T1" s="116" t="str">
        <f>+Summary!T1</f>
        <v>Total</v>
      </c>
    </row>
    <row r="2" spans="1:20" x14ac:dyDescent="0.2">
      <c r="A2" s="1" t="s">
        <v>258</v>
      </c>
    </row>
    <row r="3" spans="1:20" x14ac:dyDescent="0.2">
      <c r="A3" s="24">
        <v>2012</v>
      </c>
    </row>
    <row r="4" spans="1:20" x14ac:dyDescent="0.2">
      <c r="A4" s="41" t="s">
        <v>109</v>
      </c>
      <c r="B4" s="41">
        <v>0</v>
      </c>
      <c r="C4" s="41">
        <v>0</v>
      </c>
      <c r="D4" s="35">
        <f>+'Head Start'!I4+'Early Intervention'!B5</f>
        <v>21467.919074062971</v>
      </c>
      <c r="E4" s="35">
        <f>+Medicaid!J4*'Low Income Pop'!G4</f>
        <v>285320.93316818192</v>
      </c>
      <c r="F4" s="35">
        <f>+CHIP!E4*'Low Income Pop'!G4</f>
        <v>37177.766660724534</v>
      </c>
      <c r="G4" s="35">
        <f>+'Mental Health'!H4*'Pop Data'!Z4</f>
        <v>10364.812487603205</v>
      </c>
      <c r="H4" s="35">
        <f>+Immunizations!E4*'Pop Data'!Z4</f>
        <v>10490.314542825279</v>
      </c>
      <c r="I4" s="35">
        <f>+MCHBG!I4*'Pop Data'!Z4</f>
        <v>5836.8812496998416</v>
      </c>
      <c r="J4" s="35">
        <f>+'Title IV-E'!T4</f>
        <v>8941.1594175911559</v>
      </c>
      <c r="K4" s="35">
        <f>+'CW - State and Local Share'!D4*'Pop Data'!Z4</f>
        <v>22679.900000533617</v>
      </c>
      <c r="L4" s="35">
        <f>+'Child Care &amp; Dev Fd'!G4*'Child Care &amp; Dev Fd'!T4</f>
        <v>31112.699999999997</v>
      </c>
      <c r="M4" s="35">
        <f>+'Title IV-B'!F4</f>
        <v>2200.7292994327672</v>
      </c>
      <c r="N4" s="35">
        <f>+'Title IV-D'!E4*'Pop Data'!Z4</f>
        <v>18276.064348642751</v>
      </c>
      <c r="O4" s="35">
        <f>+'Title XX'!D4*0.001</f>
        <v>3173.5909259969844</v>
      </c>
      <c r="P4" s="35">
        <f>+TANF!E4*TANF!V4</f>
        <v>42193.459605193253</v>
      </c>
      <c r="Q4" s="35">
        <f>+Nutrition!AH4</f>
        <v>240890.61008144045</v>
      </c>
      <c r="R4" s="41">
        <v>0</v>
      </c>
      <c r="S4" s="35">
        <f>+(+'Tax Credits'!O4*'Low Income Pop'!G4)+('Tax Credits'!P4*'Pop Data'!Z4)</f>
        <v>418473.90502075187</v>
      </c>
      <c r="T4" s="35">
        <f t="shared" ref="T4:T35" si="0">SUM(B4:S4)</f>
        <v>1158600.7458826806</v>
      </c>
    </row>
    <row r="5" spans="1:20" x14ac:dyDescent="0.2">
      <c r="A5" s="41" t="s">
        <v>110</v>
      </c>
      <c r="B5" s="41">
        <v>0</v>
      </c>
      <c r="C5" s="41">
        <v>0</v>
      </c>
      <c r="D5" s="35">
        <f>+'Head Start'!I5+'Early Intervention'!B6</f>
        <v>2912.1501302460201</v>
      </c>
      <c r="E5" s="35">
        <f>+Medicaid!J5*'Low Income Pop'!G5</f>
        <v>110601.82532213912</v>
      </c>
      <c r="F5" s="35">
        <f>+CHIP!E5*'Low Income Pop'!G5</f>
        <v>7454.4170196942932</v>
      </c>
      <c r="G5" s="35">
        <f>+'Mental Health'!H5*'Pop Data'!Z5</f>
        <v>18757.548735039807</v>
      </c>
      <c r="H5" s="35">
        <f>+Immunizations!E5*'Pop Data'!Z5</f>
        <v>2853.3477219668625</v>
      </c>
      <c r="I5" s="35">
        <f>+MCHBG!I5*'Pop Data'!Z5</f>
        <v>2720.1273428113309</v>
      </c>
      <c r="J5" s="35">
        <f>+'Title IV-E'!T5</f>
        <v>6663.3601373597003</v>
      </c>
      <c r="K5" s="35">
        <f>+'CW - State and Local Share'!D5*'Pop Data'!Z5</f>
        <v>18679.235467664348</v>
      </c>
      <c r="L5" s="35">
        <f>+'Child Care &amp; Dev Fd'!G5*'Child Care &amp; Dev Fd'!T5</f>
        <v>9104.39</v>
      </c>
      <c r="M5" s="35">
        <f>+'Title IV-B'!F5</f>
        <v>187.96752538749331</v>
      </c>
      <c r="N5" s="35">
        <f>+'Title IV-D'!E5*'Pop Data'!Z5</f>
        <v>8417.856654195617</v>
      </c>
      <c r="O5" s="35">
        <f>+'Title XX'!D5*0.001</f>
        <v>6226.6618860452709</v>
      </c>
      <c r="P5" s="35">
        <f>+TANF!E5*TANF!V5</f>
        <v>17623.37332358455</v>
      </c>
      <c r="Q5" s="35">
        <f>+Nutrition!AH5</f>
        <v>40717.678349913796</v>
      </c>
      <c r="R5" s="41">
        <v>0</v>
      </c>
      <c r="S5" s="35">
        <f>+(+'Tax Credits'!O5*'Low Income Pop'!G5)+('Tax Credits'!P5*'Pop Data'!Z5)</f>
        <v>49009.252957253018</v>
      </c>
      <c r="T5" s="35">
        <f t="shared" si="0"/>
        <v>301929.19257330126</v>
      </c>
    </row>
    <row r="6" spans="1:20" x14ac:dyDescent="0.2">
      <c r="A6" s="41" t="s">
        <v>111</v>
      </c>
      <c r="B6" s="41">
        <v>0</v>
      </c>
      <c r="C6" s="41">
        <v>0</v>
      </c>
      <c r="D6" s="35">
        <f>+'Head Start'!I6+'Early Intervention'!B7</f>
        <v>22341.139304254641</v>
      </c>
      <c r="E6" s="35">
        <f>+Medicaid!J6*'Low Income Pop'!G6</f>
        <v>397860.73569291295</v>
      </c>
      <c r="F6" s="35">
        <f>+CHIP!E6*'Low Income Pop'!G6</f>
        <v>6770.8243564216182</v>
      </c>
      <c r="G6" s="35">
        <f>+'Mental Health'!H6*'Pop Data'!Z6</f>
        <v>68698.429632042564</v>
      </c>
      <c r="H6" s="35">
        <f>+Immunizations!E6*'Pop Data'!Z6</f>
        <v>14789.453722830734</v>
      </c>
      <c r="I6" s="35">
        <f>+MCHBG!I6*'Pop Data'!Z6</f>
        <v>2175.730766426429</v>
      </c>
      <c r="J6" s="35">
        <f>+'Title IV-E'!T6</f>
        <v>48365.509988191698</v>
      </c>
      <c r="K6" s="35">
        <f>+'CW - State and Local Share'!D6*'Pop Data'!Z6</f>
        <v>27934.765191308008</v>
      </c>
      <c r="L6" s="35">
        <f>+'Child Care &amp; Dev Fd'!G6*'Child Care &amp; Dev Fd'!T6</f>
        <v>66615.45</v>
      </c>
      <c r="M6" s="35">
        <f>+'Title IV-B'!F6</f>
        <v>3017.3371672570815</v>
      </c>
      <c r="N6" s="35">
        <f>+'Title IV-D'!E6*'Pop Data'!Z6</f>
        <v>16913.928498717374</v>
      </c>
      <c r="O6" s="35">
        <f>+'Title XX'!D6*0.001</f>
        <v>10842.505678993106</v>
      </c>
      <c r="P6" s="35">
        <f>+TANF!E6*TANF!V6</f>
        <v>66806.718563660732</v>
      </c>
      <c r="Q6" s="35">
        <f>+Nutrition!AH6</f>
        <v>288696.28125523054</v>
      </c>
      <c r="R6" s="41">
        <v>0</v>
      </c>
      <c r="S6" s="35">
        <f>+(+'Tax Credits'!O6*'Low Income Pop'!G6)+('Tax Credits'!P6*'Pop Data'!Z6)</f>
        <v>515559.76685291913</v>
      </c>
      <c r="T6" s="35">
        <f t="shared" si="0"/>
        <v>1557388.5766711663</v>
      </c>
    </row>
    <row r="7" spans="1:20" x14ac:dyDescent="0.2">
      <c r="A7" s="41" t="s">
        <v>112</v>
      </c>
      <c r="B7" s="41">
        <v>0</v>
      </c>
      <c r="C7" s="41">
        <v>0</v>
      </c>
      <c r="D7" s="35">
        <f>+'Head Start'!I7+'Early Intervention'!B8</f>
        <v>941994.48631640233</v>
      </c>
      <c r="E7" s="35">
        <f>+Medicaid!J7*'Low Income Pop'!G7</f>
        <v>258353.72203839917</v>
      </c>
      <c r="F7" s="35">
        <f>+CHIP!E7*'Low Income Pop'!G7</f>
        <v>26527.735908065068</v>
      </c>
      <c r="G7" s="35">
        <f>+'Mental Health'!H7*'Pop Data'!Z7</f>
        <v>2648.1303788418763</v>
      </c>
      <c r="H7" s="35">
        <f>+Immunizations!E7*'Pop Data'!Z7</f>
        <v>7244.1088410549737</v>
      </c>
      <c r="I7" s="35">
        <f>+MCHBG!I7*'Pop Data'!Z7</f>
        <v>2070.2611117050533</v>
      </c>
      <c r="J7" s="35">
        <f>+'Title IV-E'!T7</f>
        <v>14408.752850966621</v>
      </c>
      <c r="K7" s="35">
        <f>+'CW - State and Local Share'!D7*'Pop Data'!Z7</f>
        <v>9970.5439996286314</v>
      </c>
      <c r="L7" s="35">
        <f>+'Child Care &amp; Dev Fd'!G7*'Child Care &amp; Dev Fd'!T7</f>
        <v>14663.25</v>
      </c>
      <c r="M7" s="35">
        <f>+'Title IV-B'!F7</f>
        <v>1541.4760169451711</v>
      </c>
      <c r="N7" s="35">
        <f>+'Title IV-D'!E7*'Pop Data'!Z7</f>
        <v>13557.844215839221</v>
      </c>
      <c r="O7" s="35">
        <f>+'Title XX'!D7*0.001</f>
        <v>1442.1734821420257</v>
      </c>
      <c r="P7" s="35">
        <f>+TANF!E7*TANF!V7</f>
        <v>43313.970377831458</v>
      </c>
      <c r="Q7" s="35">
        <f>+Nutrition!AH7</f>
        <v>152071.98154957604</v>
      </c>
      <c r="R7" s="41">
        <v>0</v>
      </c>
      <c r="S7" s="35">
        <f>+(+'Tax Credits'!O7*'Low Income Pop'!G7)+('Tax Credits'!P7*'Pop Data'!Z7)</f>
        <v>255572.32073225785</v>
      </c>
      <c r="T7" s="35">
        <f t="shared" si="0"/>
        <v>1745380.7578196554</v>
      </c>
    </row>
    <row r="8" spans="1:20" x14ac:dyDescent="0.2">
      <c r="A8" s="41" t="s">
        <v>113</v>
      </c>
      <c r="B8" s="41">
        <v>0</v>
      </c>
      <c r="C8" s="41">
        <v>0</v>
      </c>
      <c r="D8" s="35">
        <f>+'Head Start'!I8+'Early Intervention'!B9</f>
        <v>189960.40541966286</v>
      </c>
      <c r="E8" s="35">
        <f>+Medicaid!J8*'Low Income Pop'!G8</f>
        <v>2698129.5119476779</v>
      </c>
      <c r="F8" s="35">
        <f>+CHIP!E8*'Low Income Pop'!G8</f>
        <v>404261.52764355345</v>
      </c>
      <c r="G8" s="35">
        <f>+'Mental Health'!H8*'Pop Data'!Z8</f>
        <v>369904.97859405808</v>
      </c>
      <c r="H8" s="35">
        <f>+Immunizations!E8*'Pop Data'!Z8</f>
        <v>95379.247402157678</v>
      </c>
      <c r="I8" s="35">
        <f>+MCHBG!I8*'Pop Data'!Z8</f>
        <v>172621.44979048052</v>
      </c>
      <c r="J8" s="35">
        <f>+'Title IV-E'!T8</f>
        <v>317406.03109894448</v>
      </c>
      <c r="K8" s="35">
        <f>+'CW - State and Local Share'!D8*'Pop Data'!Z8</f>
        <v>296996.97004616453</v>
      </c>
      <c r="L8" s="35">
        <f>+'Child Care &amp; Dev Fd'!G8*'Child Care &amp; Dev Fd'!T8</f>
        <v>384654.15</v>
      </c>
      <c r="M8" s="35">
        <f>+'Title IV-B'!F8</f>
        <v>11924.553007365303</v>
      </c>
      <c r="N8" s="35">
        <f>+'Title IV-D'!E8*'Pop Data'!Z8</f>
        <v>258136.72536256988</v>
      </c>
      <c r="O8" s="35">
        <f>+'Title XX'!D8*0.001</f>
        <v>116983.17451489675</v>
      </c>
      <c r="P8" s="35">
        <f>+TANF!E8*TANF!V8</f>
        <v>1239408.2043595607</v>
      </c>
      <c r="Q8" s="35">
        <f>+Nutrition!AH8</f>
        <v>1593878.5844807185</v>
      </c>
      <c r="R8" s="41">
        <v>0</v>
      </c>
      <c r="S8" s="35">
        <f>+(+'Tax Credits'!O8*'Low Income Pop'!G8)+('Tax Credits'!P8*'Pop Data'!Z8)</f>
        <v>2746931.0917072375</v>
      </c>
      <c r="T8" s="35">
        <f t="shared" si="0"/>
        <v>10896576.60537505</v>
      </c>
    </row>
    <row r="9" spans="1:20" x14ac:dyDescent="0.2">
      <c r="A9" s="41" t="s">
        <v>115</v>
      </c>
      <c r="B9" s="41">
        <v>0</v>
      </c>
      <c r="C9" s="41">
        <v>0</v>
      </c>
      <c r="D9" s="35">
        <f>+'Head Start'!I9+'Early Intervention'!B10</f>
        <v>57052.926478637331</v>
      </c>
      <c r="E9" s="35">
        <f>+Medicaid!J9*'Low Income Pop'!G9</f>
        <v>277792.03299604199</v>
      </c>
      <c r="F9" s="35">
        <f>+CHIP!E9*'Low Income Pop'!G9</f>
        <v>41303.031512672613</v>
      </c>
      <c r="G9" s="35">
        <f>+'Mental Health'!H9*'Pop Data'!Z9</f>
        <v>23138.061725347136</v>
      </c>
      <c r="H9" s="35">
        <f>+Immunizations!E9*'Pop Data'!Z9</f>
        <v>8432.8784208483648</v>
      </c>
      <c r="I9" s="35">
        <f>+MCHBG!I9*'Pop Data'!Z9</f>
        <v>1937.3181952129275</v>
      </c>
      <c r="J9" s="35">
        <f>+'Title IV-E'!T9</f>
        <v>16184.606317303336</v>
      </c>
      <c r="K9" s="35">
        <f>+'CW - State and Local Share'!D9*'Pop Data'!Z9</f>
        <v>44019.138516986932</v>
      </c>
      <c r="L9" s="35">
        <f>+'Child Care &amp; Dev Fd'!G9*'Child Care &amp; Dev Fd'!T9</f>
        <v>19094.04</v>
      </c>
      <c r="M9" s="35">
        <f>+'Title IV-B'!F9</f>
        <v>1179.0528401163592</v>
      </c>
      <c r="N9" s="35">
        <f>+'Title IV-D'!E9*'Pop Data'!Z9</f>
        <v>21193.18889551211</v>
      </c>
      <c r="O9" s="35">
        <f>+'Title XX'!D9*0.001</f>
        <v>3556.5469500000004</v>
      </c>
      <c r="P9" s="35">
        <f>+TANF!E9*TANF!V9</f>
        <v>66487.957457418568</v>
      </c>
      <c r="Q9" s="35">
        <f>+Nutrition!AH9</f>
        <v>154511.54860665189</v>
      </c>
      <c r="R9" s="41">
        <v>0</v>
      </c>
      <c r="S9" s="35">
        <f>+(+'Tax Credits'!O9*'Low Income Pop'!G9)+('Tax Credits'!P9*'Pop Data'!Z9)</f>
        <v>325358.61558866105</v>
      </c>
      <c r="T9" s="35">
        <f t="shared" si="0"/>
        <v>1061240.9445014105</v>
      </c>
    </row>
    <row r="10" spans="1:20" x14ac:dyDescent="0.2">
      <c r="A10" s="41" t="s">
        <v>114</v>
      </c>
      <c r="B10" s="41">
        <v>0</v>
      </c>
      <c r="C10" s="41">
        <v>0</v>
      </c>
      <c r="D10" s="35">
        <f>+'Head Start'!I10+'Early Intervention'!B11</f>
        <v>12602.377219195259</v>
      </c>
      <c r="E10" s="35">
        <f>+Medicaid!J10*'Low Income Pop'!G10</f>
        <v>266801.95383332513</v>
      </c>
      <c r="F10" s="35">
        <f>+CHIP!E10*'Low Income Pop'!G10</f>
        <v>5105.7530505417408</v>
      </c>
      <c r="G10" s="35">
        <f>+'Mental Health'!H10*'Pop Data'!Z10</f>
        <v>0</v>
      </c>
      <c r="H10" s="35">
        <f>+Immunizations!E10*'Pop Data'!Z10</f>
        <v>5636.3721072864255</v>
      </c>
      <c r="I10" s="35">
        <f>+MCHBG!I10*'Pop Data'!Z10</f>
        <v>1608.4515227809436</v>
      </c>
      <c r="J10" s="35">
        <f>+'Title IV-E'!T10</f>
        <v>23740.004199093197</v>
      </c>
      <c r="K10" s="35">
        <f>+'CW - State and Local Share'!D10*'Pop Data'!Z10</f>
        <v>48075.311717606026</v>
      </c>
      <c r="L10" s="35">
        <f>+'Child Care &amp; Dev Fd'!G10*'Child Care &amp; Dev Fd'!T10</f>
        <v>35416.5</v>
      </c>
      <c r="M10" s="35">
        <f>+'Title IV-B'!F10</f>
        <v>682.00921259441657</v>
      </c>
      <c r="N10" s="35">
        <f>+'Title IV-D'!E10*'Pop Data'!Z10</f>
        <v>16794.319924945627</v>
      </c>
      <c r="O10" s="35">
        <f>+'Title XX'!D10*0.001</f>
        <v>7006.9406856859769</v>
      </c>
      <c r="P10" s="35">
        <f>+TANF!E10*TANF!V10</f>
        <v>122088.30550351001</v>
      </c>
      <c r="Q10" s="35">
        <f>+Nutrition!AH10</f>
        <v>131537.53394955746</v>
      </c>
      <c r="R10" s="41">
        <v>0</v>
      </c>
      <c r="S10" s="35">
        <f>+(+'Tax Credits'!O10*'Low Income Pop'!G10)+('Tax Credits'!P10*'Pop Data'!Z10)</f>
        <v>186594.73800914129</v>
      </c>
      <c r="T10" s="35">
        <f t="shared" si="0"/>
        <v>863690.57093526353</v>
      </c>
    </row>
    <row r="11" spans="1:20" x14ac:dyDescent="0.2">
      <c r="A11" s="41" t="s">
        <v>42</v>
      </c>
      <c r="B11" s="41">
        <v>0</v>
      </c>
      <c r="C11" s="41">
        <v>0</v>
      </c>
      <c r="D11" s="35">
        <f>+'Head Start'!I11+'Early Intervention'!B12</f>
        <v>42859.242271739131</v>
      </c>
      <c r="E11" s="35">
        <f>+Medicaid!J11*'Low Income Pop'!G11</f>
        <v>81912.219894572656</v>
      </c>
      <c r="F11" s="35">
        <f>+CHIP!E11*'Low Income Pop'!G11</f>
        <v>5206.4545298605426</v>
      </c>
      <c r="G11" s="35">
        <f>+'Mental Health'!H11*'Pop Data'!Z11</f>
        <v>0</v>
      </c>
      <c r="H11" s="35">
        <f>+Immunizations!E11*'Pop Data'!Z11</f>
        <v>1987.8647828041944</v>
      </c>
      <c r="I11" s="35">
        <f>+MCHBG!I11*'Pop Data'!Z11</f>
        <v>1565.9978349085588</v>
      </c>
      <c r="J11" s="35">
        <f>+'Title IV-E'!T11</f>
        <v>1372.9686381370395</v>
      </c>
      <c r="K11" s="35">
        <f>+'CW - State and Local Share'!D11*'Pop Data'!Z11</f>
        <v>7981.133313825896</v>
      </c>
      <c r="L11" s="35">
        <f>+'Child Care &amp; Dev Fd'!G11*'Child Care &amp; Dev Fd'!T11</f>
        <v>7493.63</v>
      </c>
      <c r="M11" s="35">
        <f>+'Title IV-B'!F11</f>
        <v>338.17896830041451</v>
      </c>
      <c r="N11" s="35">
        <f>+'Title IV-D'!E11*'Pop Data'!Z11</f>
        <v>13080.990465740064</v>
      </c>
      <c r="O11" s="35">
        <f>+'Title XX'!D11*0.001</f>
        <v>1033.8008595887395</v>
      </c>
      <c r="P11" s="35">
        <f>+TANF!E11*TANF!V11</f>
        <v>22490.349618498909</v>
      </c>
      <c r="Q11" s="35">
        <f>+Nutrition!AH11</f>
        <v>41567.48597691422</v>
      </c>
      <c r="R11" s="41">
        <v>0</v>
      </c>
      <c r="S11" s="35">
        <f>+(+'Tax Credits'!O11*'Low Income Pop'!G11)+('Tax Credits'!P11*'Pop Data'!Z11)</f>
        <v>68392.869404437442</v>
      </c>
      <c r="T11" s="35">
        <f t="shared" si="0"/>
        <v>297283.18655932782</v>
      </c>
    </row>
    <row r="12" spans="1:20" x14ac:dyDescent="0.2">
      <c r="A12" s="41" t="s">
        <v>116</v>
      </c>
      <c r="B12" s="41">
        <v>0</v>
      </c>
      <c r="C12" s="41">
        <v>0</v>
      </c>
      <c r="D12" s="35">
        <f>+'Head Start'!I12+'Early Intervention'!B13</f>
        <v>82748.450849753164</v>
      </c>
      <c r="E12" s="35">
        <f>+Medicaid!J12*'Low Income Pop'!G12</f>
        <v>914332.09990315768</v>
      </c>
      <c r="F12" s="35">
        <f>+CHIP!E12*'Low Income Pop'!G12</f>
        <v>107667.12846023505</v>
      </c>
      <c r="G12" s="35">
        <f>+'Mental Health'!H12*'Pop Data'!Z12</f>
        <v>14517.189055537247</v>
      </c>
      <c r="H12" s="35">
        <f>+Immunizations!E12*'Pop Data'!Z12</f>
        <v>35043.376448960647</v>
      </c>
      <c r="I12" s="35">
        <f>+MCHBG!I12*'Pop Data'!Z12</f>
        <v>22925.69072707721</v>
      </c>
      <c r="J12" s="35">
        <f>+'Title IV-E'!T12</f>
        <v>50792.499201595012</v>
      </c>
      <c r="K12" s="35">
        <f>+'CW - State and Local Share'!D12*'Pop Data'!Z12</f>
        <v>80774.386333473245</v>
      </c>
      <c r="L12" s="35">
        <f>+'Child Care &amp; Dev Fd'!G12*'Child Care &amp; Dev Fd'!T12</f>
        <v>134923.95000000001</v>
      </c>
      <c r="M12" s="35">
        <f>+'Title IV-B'!F12</f>
        <v>6142.3105825510775</v>
      </c>
      <c r="N12" s="35">
        <f>+'Title IV-D'!E12*'Pop Data'!Z12</f>
        <v>72995.349851092324</v>
      </c>
      <c r="O12" s="35">
        <f>+'Title XX'!D12*0.001</f>
        <v>33856.390719726849</v>
      </c>
      <c r="P12" s="35">
        <f>+TANF!E12*TANF!V12</f>
        <v>156718.99987791857</v>
      </c>
      <c r="Q12" s="35">
        <f>+Nutrition!AH12</f>
        <v>911929.48277055379</v>
      </c>
      <c r="R12" s="41">
        <v>0</v>
      </c>
      <c r="S12" s="35">
        <f>+(+'Tax Credits'!O12*'Low Income Pop'!G12)+('Tax Credits'!P12*'Pop Data'!Z12)</f>
        <v>1618544.3152665598</v>
      </c>
      <c r="T12" s="35">
        <f t="shared" si="0"/>
        <v>4243911.6200481914</v>
      </c>
    </row>
    <row r="13" spans="1:20" x14ac:dyDescent="0.2">
      <c r="A13" s="41" t="s">
        <v>117</v>
      </c>
      <c r="B13" s="41">
        <v>0</v>
      </c>
      <c r="C13" s="41">
        <v>0</v>
      </c>
      <c r="D13" s="35">
        <f>+'Head Start'!I13+'Early Intervention'!B14</f>
        <v>40839.85705930613</v>
      </c>
      <c r="E13" s="35">
        <f>+Medicaid!J13*'Low Income Pop'!G13</f>
        <v>659189.99485241016</v>
      </c>
      <c r="F13" s="35">
        <f>+CHIP!E13*'Low Income Pop'!G13</f>
        <v>80751.580523478755</v>
      </c>
      <c r="G13" s="35">
        <f>+'Mental Health'!H13*'Pop Data'!Z13</f>
        <v>16874.821689674212</v>
      </c>
      <c r="H13" s="35">
        <f>+Immunizations!E13*'Pop Data'!Z13</f>
        <v>24190.524007474323</v>
      </c>
      <c r="I13" s="35">
        <f>+MCHBG!I13*'Pop Data'!Z13</f>
        <v>18037.213012108226</v>
      </c>
      <c r="J13" s="35">
        <f>+'Title IV-E'!T13</f>
        <v>27239.550097183877</v>
      </c>
      <c r="K13" s="35">
        <f>+'CW - State and Local Share'!D13*'Pop Data'!Z13</f>
        <v>32451.851450027607</v>
      </c>
      <c r="L13" s="35">
        <f>+'Child Care &amp; Dev Fd'!G13*'Child Care &amp; Dev Fd'!T13</f>
        <v>49977.48</v>
      </c>
      <c r="M13" s="35">
        <f>+'Title IV-B'!F13</f>
        <v>4449.5558778889217</v>
      </c>
      <c r="N13" s="35">
        <f>+'Title IV-D'!E13*'Pop Data'!Z13</f>
        <v>28045.674725565983</v>
      </c>
      <c r="O13" s="35">
        <f>+'Title XX'!D13*0.001</f>
        <v>2702.7318409956229</v>
      </c>
      <c r="P13" s="35">
        <f>+TANF!E13*TANF!V13</f>
        <v>89917.361098477035</v>
      </c>
      <c r="Q13" s="35">
        <f>+Nutrition!AH13</f>
        <v>617405.74610590248</v>
      </c>
      <c r="R13" s="41">
        <v>0</v>
      </c>
      <c r="S13" s="35">
        <f>+(+'Tax Credits'!O13*'Low Income Pop'!G13)+('Tax Credits'!P13*'Pop Data'!Z13)</f>
        <v>1003542.3137805647</v>
      </c>
      <c r="T13" s="35">
        <f t="shared" si="0"/>
        <v>2695616.256121058</v>
      </c>
    </row>
    <row r="14" spans="1:20" x14ac:dyDescent="0.2">
      <c r="A14" s="41" t="s">
        <v>118</v>
      </c>
      <c r="B14" s="41">
        <v>0</v>
      </c>
      <c r="C14" s="41">
        <v>0</v>
      </c>
      <c r="D14" s="35">
        <f>+'Head Start'!I14+'Early Intervention'!B15</f>
        <v>7348.9486317443689</v>
      </c>
      <c r="E14" s="35">
        <f>+Medicaid!J14*'Low Income Pop'!G14</f>
        <v>73232.643158201157</v>
      </c>
      <c r="F14" s="35">
        <f>+CHIP!E14*'Low Income Pop'!G14</f>
        <v>10493.641420467975</v>
      </c>
      <c r="G14" s="35">
        <f>+'Mental Health'!H14*'Pop Data'!Z14</f>
        <v>5883.1012781050777</v>
      </c>
      <c r="H14" s="35">
        <f>+Immunizations!E14*'Pop Data'!Z14</f>
        <v>3146.1464131269163</v>
      </c>
      <c r="I14" s="35">
        <f>+MCHBG!I14*'Pop Data'!Z14</f>
        <v>4155.5988540218013</v>
      </c>
      <c r="J14" s="35">
        <f>+'Title IV-E'!T14</f>
        <v>0</v>
      </c>
      <c r="K14" s="35">
        <f>+'CW - State and Local Share'!D14*'Pop Data'!Z14</f>
        <v>0</v>
      </c>
      <c r="L14" s="35">
        <f>+'Child Care &amp; Dev Fd'!G14*'Child Care &amp; Dev Fd'!T14</f>
        <v>14903.68</v>
      </c>
      <c r="M14" s="35">
        <f>+'Title IV-B'!F14</f>
        <v>384.39553585928638</v>
      </c>
      <c r="N14" s="35">
        <f>+'Title IV-D'!E14*'Pop Data'!Z14</f>
        <v>5830.3591882802939</v>
      </c>
      <c r="O14" s="35">
        <f>+'Title XX'!D14*0.001</f>
        <v>3927.8087075700096</v>
      </c>
      <c r="P14" s="35">
        <f>+TANF!E14*TANF!V14</f>
        <v>63343.051466773555</v>
      </c>
      <c r="Q14" s="35">
        <f>+Nutrition!AH14</f>
        <v>83240.1602655428</v>
      </c>
      <c r="R14" s="41">
        <v>0</v>
      </c>
      <c r="S14" s="35">
        <f>+(+'Tax Credits'!O14*'Low Income Pop'!G14)+('Tax Credits'!P14*'Pop Data'!Z14)</f>
        <v>110971.50119488972</v>
      </c>
      <c r="T14" s="35">
        <f t="shared" si="0"/>
        <v>386861.03611458297</v>
      </c>
    </row>
    <row r="15" spans="1:20" x14ac:dyDescent="0.2">
      <c r="A15" s="41" t="s">
        <v>119</v>
      </c>
      <c r="B15" s="41">
        <v>0</v>
      </c>
      <c r="C15" s="41">
        <v>0</v>
      </c>
      <c r="D15" s="35">
        <f>+'Head Start'!I15+'Early Intervention'!B16</f>
        <v>98888.839475863468</v>
      </c>
      <c r="E15" s="35">
        <f>+Medicaid!J15*'Low Income Pop'!G15</f>
        <v>95444.500525171403</v>
      </c>
      <c r="F15" s="35">
        <f>+CHIP!E15*'Low Income Pop'!G15</f>
        <v>10134.336132260238</v>
      </c>
      <c r="G15" s="35">
        <f>+'Mental Health'!H15*'Pop Data'!Z15</f>
        <v>1817.9301578350319</v>
      </c>
      <c r="H15" s="35">
        <f>+Immunizations!E15*'Pop Data'!Z15</f>
        <v>3856.2880949476553</v>
      </c>
      <c r="I15" s="35">
        <f>+MCHBG!I15*'Pop Data'!Z15</f>
        <v>774.88920385988786</v>
      </c>
      <c r="J15" s="35">
        <f>+'Title IV-E'!T15</f>
        <v>3520.1429527583118</v>
      </c>
      <c r="K15" s="35">
        <f>+'CW - State and Local Share'!D15*'Pop Data'!Z15</f>
        <v>2935.3605868981099</v>
      </c>
      <c r="L15" s="35">
        <f>+'Child Care &amp; Dev Fd'!G15*'Child Care &amp; Dev Fd'!T15</f>
        <v>6477.4400000000005</v>
      </c>
      <c r="M15" s="35">
        <f>+'Title IV-B'!F15</f>
        <v>519.42397100420521</v>
      </c>
      <c r="N15" s="35">
        <f>+'Title IV-D'!E15*'Pop Data'!Z15</f>
        <v>6284.6409047139578</v>
      </c>
      <c r="O15" s="35">
        <f>+'Title XX'!D15*0.001</f>
        <v>2363.0640107542285</v>
      </c>
      <c r="P15" s="35">
        <f>+TANF!E15*TANF!V15</f>
        <v>4161.0910082726923</v>
      </c>
      <c r="Q15" s="35">
        <f>+Nutrition!AH15</f>
        <v>66660.634233912526</v>
      </c>
      <c r="R15" s="41">
        <v>0</v>
      </c>
      <c r="S15" s="35">
        <f>+(+'Tax Credits'!O15*'Low Income Pop'!G15)+('Tax Credits'!P15*'Pop Data'!Z15)</f>
        <v>127297.09032596932</v>
      </c>
      <c r="T15" s="35">
        <f t="shared" si="0"/>
        <v>431135.67158422107</v>
      </c>
    </row>
    <row r="16" spans="1:20" x14ac:dyDescent="0.2">
      <c r="A16" s="41" t="s">
        <v>120</v>
      </c>
      <c r="B16" s="41">
        <v>0</v>
      </c>
      <c r="C16" s="41">
        <v>0</v>
      </c>
      <c r="D16" s="35">
        <f>+'Head Start'!I16+'Early Intervention'!B17</f>
        <v>69592.978653687809</v>
      </c>
      <c r="E16" s="35">
        <f>+Medicaid!J16*'Low Income Pop'!G16</f>
        <v>847282.14192660141</v>
      </c>
      <c r="F16" s="35">
        <f>+CHIP!E16*'Low Income Pop'!G16</f>
        <v>87382.53368748723</v>
      </c>
      <c r="G16" s="35">
        <f>+'Mental Health'!H16*'Pop Data'!Z16</f>
        <v>37991.924998489943</v>
      </c>
      <c r="H16" s="35">
        <f>+Immunizations!E16*'Pop Data'!Z16</f>
        <v>25237.898202250934</v>
      </c>
      <c r="I16" s="35">
        <f>+MCHBG!I16*'Pop Data'!Z16</f>
        <v>7359.8506980237044</v>
      </c>
      <c r="J16" s="35">
        <f>+'Title IV-E'!T16</f>
        <v>51183.37920838983</v>
      </c>
      <c r="K16" s="35">
        <f>+'CW - State and Local Share'!D16*'Pop Data'!Z16</f>
        <v>83098.017868419891</v>
      </c>
      <c r="L16" s="35">
        <f>+'Child Care &amp; Dev Fd'!G16*'Child Care &amp; Dev Fd'!T16</f>
        <v>84085.5</v>
      </c>
      <c r="M16" s="35">
        <f>+'Title IV-B'!F16</f>
        <v>4955.8726122161988</v>
      </c>
      <c r="N16" s="35">
        <f>+'Title IV-D'!E16*'Pop Data'!Z16</f>
        <v>53374.972893851795</v>
      </c>
      <c r="O16" s="35">
        <f>+'Title XX'!D16*0.001</f>
        <v>3067.1098381011097</v>
      </c>
      <c r="P16" s="35">
        <f>+TANF!E16*TANF!V16</f>
        <v>220869.56263337092</v>
      </c>
      <c r="Q16" s="35">
        <f>+Nutrition!AH16</f>
        <v>546669.91540063964</v>
      </c>
      <c r="R16" s="41">
        <v>0</v>
      </c>
      <c r="S16" s="35">
        <f>+(+'Tax Credits'!O16*'Low Income Pop'!G16)+('Tax Credits'!P16*'Pop Data'!Z16)</f>
        <v>933439.23064629128</v>
      </c>
      <c r="T16" s="35">
        <f t="shared" si="0"/>
        <v>3055590.8892678223</v>
      </c>
    </row>
    <row r="17" spans="1:20" x14ac:dyDescent="0.2">
      <c r="A17" s="41" t="s">
        <v>121</v>
      </c>
      <c r="B17" s="41">
        <v>0</v>
      </c>
      <c r="C17" s="41">
        <v>0</v>
      </c>
      <c r="D17" s="35">
        <f>+'Head Start'!I17+'Early Intervention'!B18</f>
        <v>25127.507308560678</v>
      </c>
      <c r="E17" s="35">
        <f>+Medicaid!J17*'Low Income Pop'!G17</f>
        <v>442050.5521367077</v>
      </c>
      <c r="F17" s="35">
        <f>+CHIP!E17*'Low Income Pop'!G17</f>
        <v>42233.66150644741</v>
      </c>
      <c r="G17" s="35">
        <f>+'Mental Health'!H17*'Pop Data'!Z17</f>
        <v>17204.560065613256</v>
      </c>
      <c r="H17" s="35">
        <f>+Immunizations!E17*'Pop Data'!Z17</f>
        <v>11947.601071554913</v>
      </c>
      <c r="I17" s="35">
        <f>+MCHBG!I17*'Pop Data'!Z17</f>
        <v>3818.8435874498969</v>
      </c>
      <c r="J17" s="35">
        <f>+'Title IV-E'!T17</f>
        <v>31370.482092963961</v>
      </c>
      <c r="K17" s="35">
        <f>+'CW - State and Local Share'!D17*'Pop Data'!Z17</f>
        <v>65791.629130675472</v>
      </c>
      <c r="L17" s="35">
        <f>+'Child Care &amp; Dev Fd'!G17*'Child Care &amp; Dev Fd'!T17</f>
        <v>45001.32</v>
      </c>
      <c r="M17" s="35">
        <f>+'Title IV-B'!F17</f>
        <v>2245.5124207548761</v>
      </c>
      <c r="N17" s="35">
        <f>+'Title IV-D'!E17*'Pop Data'!Z17</f>
        <v>27099.554855646671</v>
      </c>
      <c r="O17" s="35">
        <f>+'Title XX'!D17*0.001</f>
        <v>3244.1729464636137</v>
      </c>
      <c r="P17" s="35">
        <f>+TANF!E17*TANF!V17</f>
        <v>52095.415659210274</v>
      </c>
      <c r="Q17" s="35">
        <f>+Nutrition!AH17</f>
        <v>281036.05941403011</v>
      </c>
      <c r="R17" s="41">
        <v>0</v>
      </c>
      <c r="S17" s="35">
        <f>+(+'Tax Credits'!O17*'Low Income Pop'!G17)+('Tax Credits'!P17*'Pop Data'!Z17)</f>
        <v>526433.94450116879</v>
      </c>
      <c r="T17" s="35">
        <f t="shared" si="0"/>
        <v>1576700.8166972476</v>
      </c>
    </row>
    <row r="18" spans="1:20" x14ac:dyDescent="0.2">
      <c r="A18" s="41" t="s">
        <v>122</v>
      </c>
      <c r="B18" s="41">
        <v>0</v>
      </c>
      <c r="C18" s="41">
        <v>0</v>
      </c>
      <c r="D18" s="35">
        <f>+'Head Start'!I18+'Early Intervention'!B19</f>
        <v>34047.805763223143</v>
      </c>
      <c r="E18" s="35">
        <f>+Medicaid!J18*'Low Income Pop'!G18</f>
        <v>187128.11364665249</v>
      </c>
      <c r="F18" s="35">
        <f>+CHIP!E18*'Low Income Pop'!G18</f>
        <v>29112.919481244418</v>
      </c>
      <c r="G18" s="35">
        <f>+'Mental Health'!H18*'Pop Data'!Z18</f>
        <v>25093.493996452591</v>
      </c>
      <c r="H18" s="35">
        <f>+Immunizations!E18*'Pop Data'!Z18</f>
        <v>4886.437053805711</v>
      </c>
      <c r="I18" s="35">
        <f>+MCHBG!I18*'Pop Data'!Z18</f>
        <v>1553.3025267202709</v>
      </c>
      <c r="J18" s="35">
        <f>+'Title IV-E'!T18</f>
        <v>15153.449671926115</v>
      </c>
      <c r="K18" s="35">
        <f>+'CW - State and Local Share'!D18*'Pop Data'!Z18</f>
        <v>22207.647136120882</v>
      </c>
      <c r="L18" s="35">
        <f>+'Child Care &amp; Dev Fd'!G18*'Child Care &amp; Dev Fd'!T18</f>
        <v>23407.160000000003</v>
      </c>
      <c r="M18" s="35">
        <f>+'Title IV-B'!F18</f>
        <v>1018.1892394464203</v>
      </c>
      <c r="N18" s="35">
        <f>+'Title IV-D'!E18*'Pop Data'!Z18</f>
        <v>15043.343619848039</v>
      </c>
      <c r="O18" s="35">
        <f>+'Title XX'!D18*0.001</f>
        <v>6558.2632981609231</v>
      </c>
      <c r="P18" s="35">
        <f>+TANF!E18*TANF!V18</f>
        <v>51336.201292855774</v>
      </c>
      <c r="Q18" s="35">
        <f>+Nutrition!AH18</f>
        <v>115892.63458323377</v>
      </c>
      <c r="R18" s="41">
        <v>0</v>
      </c>
      <c r="S18" s="35">
        <f>+(+'Tax Credits'!O18*'Low Income Pop'!G18)+('Tax Credits'!P18*'Pop Data'!Z18)</f>
        <v>208137.49846158893</v>
      </c>
      <c r="T18" s="35">
        <f t="shared" si="0"/>
        <v>740576.45977127948</v>
      </c>
    </row>
    <row r="19" spans="1:20" x14ac:dyDescent="0.2">
      <c r="A19" s="41" t="s">
        <v>123</v>
      </c>
      <c r="B19" s="41">
        <v>0</v>
      </c>
      <c r="C19" s="41">
        <v>0</v>
      </c>
      <c r="D19" s="35">
        <f>+'Head Start'!I19+'Early Intervention'!B20</f>
        <v>37197.264670161298</v>
      </c>
      <c r="E19" s="35">
        <f>+Medicaid!J19*'Low Income Pop'!G19</f>
        <v>163830.21539763967</v>
      </c>
      <c r="F19" s="35">
        <f>+CHIP!E19*'Low Income Pop'!G19</f>
        <v>17654.552879742689</v>
      </c>
      <c r="G19" s="35">
        <f>+'Mental Health'!H19*'Pop Data'!Z19</f>
        <v>25921.727625337262</v>
      </c>
      <c r="H19" s="35">
        <f>+Immunizations!E19*'Pop Data'!Z19</f>
        <v>4957.5103619060501</v>
      </c>
      <c r="I19" s="35">
        <f>+MCHBG!I19*'Pop Data'!Z19</f>
        <v>1273.0662330872121</v>
      </c>
      <c r="J19" s="35">
        <f>+'Title IV-E'!T19</f>
        <v>8046.1175089354747</v>
      </c>
      <c r="K19" s="35">
        <f>+'CW - State and Local Share'!D19*'Pop Data'!Z19</f>
        <v>25356.590263204402</v>
      </c>
      <c r="L19" s="35">
        <f>+'Child Care &amp; Dev Fd'!G19*'Child Care &amp; Dev Fd'!T19</f>
        <v>23258.880000000001</v>
      </c>
      <c r="M19" s="35">
        <f>+'Title IV-B'!F19</f>
        <v>853.50822396335639</v>
      </c>
      <c r="N19" s="35">
        <f>+'Title IV-D'!E19*'Pop Data'!Z19</f>
        <v>15736.318228257749</v>
      </c>
      <c r="O19" s="35">
        <f>+'Title XX'!D19*0.001</f>
        <v>3936.3399639999998</v>
      </c>
      <c r="P19" s="35">
        <f>+TANF!E19*TANF!V19</f>
        <v>44762.197438690302</v>
      </c>
      <c r="Q19" s="35">
        <f>+Nutrition!AH19</f>
        <v>100060.64581602041</v>
      </c>
      <c r="R19" s="41">
        <v>0</v>
      </c>
      <c r="S19" s="35">
        <f>+(+'Tax Credits'!O19*'Low Income Pop'!G19)+('Tax Credits'!P19*'Pop Data'!Z19)</f>
        <v>231350.76816372795</v>
      </c>
      <c r="T19" s="35">
        <f t="shared" si="0"/>
        <v>704195.70277467382</v>
      </c>
    </row>
    <row r="20" spans="1:20" x14ac:dyDescent="0.2">
      <c r="A20" s="41" t="s">
        <v>124</v>
      </c>
      <c r="B20" s="41">
        <v>0</v>
      </c>
      <c r="C20" s="41">
        <v>0</v>
      </c>
      <c r="D20" s="35">
        <f>+'Head Start'!I20+'Early Intervention'!B21</f>
        <v>31787.375672973103</v>
      </c>
      <c r="E20" s="35">
        <f>+Medicaid!J20*'Low Income Pop'!G20</f>
        <v>367240.25714291859</v>
      </c>
      <c r="F20" s="35">
        <f>+CHIP!E20*'Low Income Pop'!G20</f>
        <v>40849.335968485015</v>
      </c>
      <c r="G20" s="35">
        <f>+'Mental Health'!H20*'Pop Data'!Z20</f>
        <v>9321.9028049362551</v>
      </c>
      <c r="H20" s="35">
        <f>+Immunizations!E20*'Pop Data'!Z20</f>
        <v>8288.6790179427608</v>
      </c>
      <c r="I20" s="35">
        <f>+MCHBG!I20*'Pop Data'!Z20</f>
        <v>6911.912438985778</v>
      </c>
      <c r="J20" s="35">
        <f>+'Title IV-E'!T20</f>
        <v>16849.031784572959</v>
      </c>
      <c r="K20" s="35">
        <f>+'CW - State and Local Share'!D20*'Pop Data'!Z20</f>
        <v>51817.147943800963</v>
      </c>
      <c r="L20" s="35">
        <f>+'Child Care &amp; Dev Fd'!G20*'Child Care &amp; Dev Fd'!T20</f>
        <v>44817.94</v>
      </c>
      <c r="M20" s="35">
        <f>+'Title IV-B'!F20</f>
        <v>2070.5159876185699</v>
      </c>
      <c r="N20" s="35">
        <f>+'Title IV-D'!E20*'Pop Data'!Z20</f>
        <v>18843.404685348614</v>
      </c>
      <c r="O20" s="35">
        <f>+'Title XX'!D20*0.001</f>
        <v>6934.7565029434645</v>
      </c>
      <c r="P20" s="35">
        <f>+TANF!E20*TANF!V20</f>
        <v>60322.53633921584</v>
      </c>
      <c r="Q20" s="35">
        <f>+Nutrition!AH20</f>
        <v>236971.01066861497</v>
      </c>
      <c r="R20" s="41">
        <v>0</v>
      </c>
      <c r="S20" s="35">
        <f>+(+'Tax Credits'!O20*'Low Income Pop'!G20)+('Tax Credits'!P20*'Pop Data'!Z20)</f>
        <v>349202.13715146168</v>
      </c>
      <c r="T20" s="35">
        <f t="shared" si="0"/>
        <v>1252227.9441098189</v>
      </c>
    </row>
    <row r="21" spans="1:20" x14ac:dyDescent="0.2">
      <c r="A21" s="41" t="s">
        <v>125</v>
      </c>
      <c r="B21" s="41">
        <v>0</v>
      </c>
      <c r="C21" s="41">
        <v>0</v>
      </c>
      <c r="D21" s="35">
        <f>+'Head Start'!I21+'Early Intervention'!B22</f>
        <v>15012.252438037325</v>
      </c>
      <c r="E21" s="35">
        <f>+Medicaid!J21*'Low Income Pop'!G21</f>
        <v>437786.80518908863</v>
      </c>
      <c r="F21" s="35">
        <f>+CHIP!E21*'Low Income Pop'!G21</f>
        <v>48929.418516580714</v>
      </c>
      <c r="G21" s="35">
        <f>+'Mental Health'!H21*'Pop Data'!Z21</f>
        <v>7698.186297321241</v>
      </c>
      <c r="H21" s="35">
        <f>+Immunizations!E21*'Pop Data'!Z21</f>
        <v>12532.326687657844</v>
      </c>
      <c r="I21" s="35">
        <f>+MCHBG!I21*'Pop Data'!Z21</f>
        <v>3267.9918866777057</v>
      </c>
      <c r="J21" s="35">
        <f>+'Title IV-E'!T21</f>
        <v>13969.186735923056</v>
      </c>
      <c r="K21" s="35">
        <f>+'CW - State and Local Share'!D21*'Pop Data'!Z21</f>
        <v>6372.0240310680856</v>
      </c>
      <c r="L21" s="35">
        <f>+'Child Care &amp; Dev Fd'!G21*'Child Care &amp; Dev Fd'!T21</f>
        <v>43659</v>
      </c>
      <c r="M21" s="35">
        <f>+'Title IV-B'!F21</f>
        <v>3103.0756152197296</v>
      </c>
      <c r="N21" s="35">
        <f>+'Title IV-D'!E21*'Pop Data'!Z21</f>
        <v>22472.277598109864</v>
      </c>
      <c r="O21" s="35">
        <f>+'Title XX'!D21*0.001</f>
        <v>13630.649323074787</v>
      </c>
      <c r="P21" s="35">
        <f>+TANF!E21*TANF!V21</f>
        <v>43776.361831416565</v>
      </c>
      <c r="Q21" s="35">
        <f>+Nutrition!AH21</f>
        <v>304204.33474259172</v>
      </c>
      <c r="R21" s="41">
        <v>0</v>
      </c>
      <c r="S21" s="35">
        <f>+(+'Tax Credits'!O21*'Low Income Pop'!G21)+('Tax Credits'!P21*'Pop Data'!Z21)</f>
        <v>473249.68300861982</v>
      </c>
      <c r="T21" s="35">
        <f t="shared" si="0"/>
        <v>1449663.5739013872</v>
      </c>
    </row>
    <row r="22" spans="1:20" x14ac:dyDescent="0.2">
      <c r="A22" s="41" t="s">
        <v>0</v>
      </c>
      <c r="B22" s="41">
        <v>0</v>
      </c>
      <c r="C22" s="41">
        <v>0</v>
      </c>
      <c r="D22" s="35">
        <f>+'Head Start'!I22+'Early Intervention'!B23</f>
        <v>75313.597526506288</v>
      </c>
      <c r="E22" s="35">
        <f>+Medicaid!J22*'Low Income Pop'!G22</f>
        <v>111937.25174312353</v>
      </c>
      <c r="F22" s="35">
        <f>+CHIP!E22*'Low Income Pop'!G22</f>
        <v>9150.7384930400567</v>
      </c>
      <c r="G22" s="35">
        <f>+'Mental Health'!H22*'Pop Data'!Z22</f>
        <v>29214.430767864735</v>
      </c>
      <c r="H22" s="35">
        <f>+Immunizations!E22*'Pop Data'!Z22</f>
        <v>2133.0975539263986</v>
      </c>
      <c r="I22" s="35">
        <f>+MCHBG!I22*'Pop Data'!Z22</f>
        <v>1563.0924925728987</v>
      </c>
      <c r="J22" s="35">
        <f>+'Title IV-E'!T22</f>
        <v>9213.4866801720837</v>
      </c>
      <c r="K22" s="35">
        <f>+'CW - State and Local Share'!D22*'Pop Data'!Z22</f>
        <v>11419.634793432562</v>
      </c>
      <c r="L22" s="35">
        <f>+'Child Care &amp; Dev Fd'!G22*'Child Care &amp; Dev Fd'!T22</f>
        <v>5778.920000000001</v>
      </c>
      <c r="M22" s="35">
        <f>+'Title IV-B'!F22</f>
        <v>458.95206280696533</v>
      </c>
      <c r="N22" s="35">
        <f>+'Title IV-D'!E22*'Pop Data'!Z22</f>
        <v>6852.8757737347605</v>
      </c>
      <c r="O22" s="35">
        <f>+'Title XX'!D22*0.001</f>
        <v>374.12805660034354</v>
      </c>
      <c r="P22" s="35">
        <f>+TANF!E22*TANF!V22</f>
        <v>23052.195209925667</v>
      </c>
      <c r="Q22" s="35">
        <f>+Nutrition!AH22</f>
        <v>58171.906636568878</v>
      </c>
      <c r="R22" s="41">
        <v>0</v>
      </c>
      <c r="S22" s="35">
        <f>+(+'Tax Credits'!O22*'Low Income Pop'!G22)+('Tax Credits'!P22*'Pop Data'!Z22)</f>
        <v>76505.283120403968</v>
      </c>
      <c r="T22" s="35">
        <f t="shared" si="0"/>
        <v>421139.5909106792</v>
      </c>
    </row>
    <row r="23" spans="1:20" x14ac:dyDescent="0.2">
      <c r="A23" s="41" t="s">
        <v>1</v>
      </c>
      <c r="B23" s="41">
        <v>0</v>
      </c>
      <c r="C23" s="41">
        <v>0</v>
      </c>
      <c r="D23" s="35">
        <f>+'Head Start'!I23+'Early Intervention'!B24</f>
        <v>51800.57694307444</v>
      </c>
      <c r="E23" s="35">
        <f>+Medicaid!J23*'Low Income Pop'!G23</f>
        <v>439978.95017436991</v>
      </c>
      <c r="F23" s="35">
        <f>+CHIP!E23*'Low Income Pop'!G23</f>
        <v>55806.337439316565</v>
      </c>
      <c r="G23" s="35">
        <f>+'Mental Health'!H23*'Pop Data'!Z23</f>
        <v>55233.52352708191</v>
      </c>
      <c r="H23" s="35">
        <f>+Immunizations!E23*'Pop Data'!Z23</f>
        <v>11274.667730061021</v>
      </c>
      <c r="I23" s="35">
        <f>+MCHBG!I23*'Pop Data'!Z23</f>
        <v>2722.7019028307786</v>
      </c>
      <c r="J23" s="35">
        <f>+'Title IV-E'!T23</f>
        <v>19889.14160023813</v>
      </c>
      <c r="K23" s="35">
        <f>+'CW - State and Local Share'!D23*'Pop Data'!Z23</f>
        <v>55881.332835243338</v>
      </c>
      <c r="L23" s="35">
        <f>+'Child Care &amp; Dev Fd'!G23*'Child Care &amp; Dev Fd'!T23</f>
        <v>35497.170000000006</v>
      </c>
      <c r="M23" s="35">
        <f>+'Title IV-B'!F23</f>
        <v>1394.3957568279204</v>
      </c>
      <c r="N23" s="35">
        <f>+'Title IV-D'!E23*'Pop Data'!Z23</f>
        <v>35648.302208662004</v>
      </c>
      <c r="O23" s="35">
        <f>+'Title XX'!D23*0.001</f>
        <v>6186.8817063207007</v>
      </c>
      <c r="P23" s="35">
        <f>+TANF!E23*TANF!V23</f>
        <v>133721.79636219959</v>
      </c>
      <c r="Q23" s="35">
        <f>+Nutrition!AH23</f>
        <v>214108.29719641965</v>
      </c>
      <c r="R23" s="41">
        <v>0</v>
      </c>
      <c r="S23" s="35">
        <f>+(+'Tax Credits'!O23*'Low Income Pop'!G23)+('Tax Credits'!P23*'Pop Data'!Z23)</f>
        <v>406507.19563044177</v>
      </c>
      <c r="T23" s="35">
        <f t="shared" si="0"/>
        <v>1525651.2710130876</v>
      </c>
    </row>
    <row r="24" spans="1:20" x14ac:dyDescent="0.2">
      <c r="A24" s="41" t="s">
        <v>2</v>
      </c>
      <c r="B24" s="41">
        <v>0</v>
      </c>
      <c r="C24" s="41">
        <v>0</v>
      </c>
      <c r="D24" s="35">
        <f>+'Head Start'!I24+'Early Intervention'!B25</f>
        <v>74067.526928610954</v>
      </c>
      <c r="E24" s="35">
        <f>+Medicaid!J24*'Low Income Pop'!G24</f>
        <v>444275.97325029521</v>
      </c>
      <c r="F24" s="35">
        <f>+CHIP!E24*'Low Income Pop'!G24</f>
        <v>103434.65012922729</v>
      </c>
      <c r="G24" s="35">
        <f>+'Mental Health'!H24*'Pop Data'!Z24</f>
        <v>14305.589352166471</v>
      </c>
      <c r="H24" s="35">
        <f>+Immunizations!E24*'Pop Data'!Z24</f>
        <v>11571.852297375153</v>
      </c>
      <c r="I24" s="35">
        <f>+MCHBG!I24*'Pop Data'!Z24</f>
        <v>8461.9035251542191</v>
      </c>
      <c r="J24" s="35">
        <f>+'Title IV-E'!T24</f>
        <v>19129.403823275046</v>
      </c>
      <c r="K24" s="35">
        <f>+'CW - State and Local Share'!D24*'Pop Data'!Z24</f>
        <v>82744.41030815283</v>
      </c>
      <c r="L24" s="35">
        <f>+'Child Care &amp; Dev Fd'!G24*'Child Care &amp; Dev Fd'!T24</f>
        <v>70893.680000000008</v>
      </c>
      <c r="M24" s="35">
        <f>+'Title IV-B'!F24</f>
        <v>1720.7735361621972</v>
      </c>
      <c r="N24" s="35">
        <f>+'Title IV-D'!E24*'Pop Data'!Z24</f>
        <v>27719.566262670232</v>
      </c>
      <c r="O24" s="35">
        <f>+'Title XX'!D24*0.001</f>
        <v>12675.931853165093</v>
      </c>
      <c r="P24" s="35">
        <f>+TANF!E24*TANF!V24</f>
        <v>225740.17237502462</v>
      </c>
      <c r="Q24" s="35">
        <f>+Nutrition!AH24</f>
        <v>248117.07840870696</v>
      </c>
      <c r="R24" s="41">
        <v>0</v>
      </c>
      <c r="S24" s="35">
        <f>+(+'Tax Credits'!O24*'Low Income Pop'!G24)+('Tax Credits'!P24*'Pop Data'!Z24)</f>
        <v>337339.30993738247</v>
      </c>
      <c r="T24" s="35">
        <f t="shared" si="0"/>
        <v>1682197.8219873686</v>
      </c>
    </row>
    <row r="25" spans="1:20" x14ac:dyDescent="0.2">
      <c r="A25" s="41" t="s">
        <v>3</v>
      </c>
      <c r="B25" s="41">
        <v>0</v>
      </c>
      <c r="C25" s="41">
        <v>0</v>
      </c>
      <c r="D25" s="35">
        <f>+'Head Start'!I25+'Early Intervention'!B26</f>
        <v>35714.881172172056</v>
      </c>
      <c r="E25" s="35">
        <f>+Medicaid!J25*'Low Income Pop'!G25</f>
        <v>616601.3384675167</v>
      </c>
      <c r="F25" s="35">
        <f>+CHIP!E25*'Low Income Pop'!G25</f>
        <v>13819.229493751651</v>
      </c>
      <c r="G25" s="35">
        <f>+'Mental Health'!H25*'Pop Data'!Z25</f>
        <v>30384.170949998672</v>
      </c>
      <c r="H25" s="35">
        <f>+Immunizations!E25*'Pop Data'!Z25</f>
        <v>16321.001813150289</v>
      </c>
      <c r="I25" s="35">
        <f>+MCHBG!I25*'Pop Data'!Z25</f>
        <v>7824.562414606924</v>
      </c>
      <c r="J25" s="35">
        <f>+'Title IV-E'!T25</f>
        <v>58176.87741386141</v>
      </c>
      <c r="K25" s="35">
        <f>+'CW - State and Local Share'!D25*'Pop Data'!Z25</f>
        <v>56038.218308063537</v>
      </c>
      <c r="L25" s="35">
        <f>+'Child Care &amp; Dev Fd'!G25*'Child Care &amp; Dev Fd'!T25</f>
        <v>55596.240000000005</v>
      </c>
      <c r="M25" s="35">
        <f>+'Title IV-B'!F25</f>
        <v>3712.4351261044958</v>
      </c>
      <c r="N25" s="35">
        <f>+'Title IV-D'!E25*'Pop Data'!Z25</f>
        <v>58072.291947928199</v>
      </c>
      <c r="O25" s="35">
        <f>+'Title XX'!D25*0.001</f>
        <v>28225.676543730075</v>
      </c>
      <c r="P25" s="35">
        <f>+TANF!E25*TANF!V25</f>
        <v>427557.83546133112</v>
      </c>
      <c r="Q25" s="35">
        <f>+Nutrition!AH25</f>
        <v>532455.22233064496</v>
      </c>
      <c r="R25" s="41">
        <v>0</v>
      </c>
      <c r="S25" s="35">
        <f>+(+'Tax Credits'!O25*'Low Income Pop'!G25)+('Tax Credits'!P25*'Pop Data'!Z25)</f>
        <v>729845.85483116377</v>
      </c>
      <c r="T25" s="35">
        <f t="shared" si="0"/>
        <v>2670345.8362740241</v>
      </c>
    </row>
    <row r="26" spans="1:20" x14ac:dyDescent="0.2">
      <c r="A26" s="41" t="s">
        <v>4</v>
      </c>
      <c r="B26" s="41">
        <v>0</v>
      </c>
      <c r="C26" s="41">
        <v>0</v>
      </c>
      <c r="D26" s="35">
        <f>+'Head Start'!I26+'Early Intervention'!B27</f>
        <v>20193.427503892184</v>
      </c>
      <c r="E26" s="35">
        <f>+Medicaid!J26*'Low Income Pop'!G26</f>
        <v>475523.88166002359</v>
      </c>
      <c r="F26" s="35">
        <f>+CHIP!E26*'Low Income Pop'!G26</f>
        <v>4534.6532027813391</v>
      </c>
      <c r="G26" s="35">
        <f>+'Mental Health'!H26*'Pop Data'!Z26</f>
        <v>44088.999465110188</v>
      </c>
      <c r="H26" s="35">
        <f>+Immunizations!E26*'Pop Data'!Z26</f>
        <v>7565.2336259132953</v>
      </c>
      <c r="I26" s="35">
        <f>+MCHBG!I26*'Pop Data'!Z26</f>
        <v>2376.3608707571534</v>
      </c>
      <c r="J26" s="35">
        <f>+'Title IV-E'!T26</f>
        <v>14822.158893498245</v>
      </c>
      <c r="K26" s="35">
        <f>+'CW - State and Local Share'!D26*'Pop Data'!Z26</f>
        <v>60448.925658309228</v>
      </c>
      <c r="L26" s="35">
        <f>+'Child Care &amp; Dev Fd'!G26*'Child Care &amp; Dev Fd'!T26</f>
        <v>52650.54</v>
      </c>
      <c r="M26" s="35">
        <f>+'Title IV-B'!F26</f>
        <v>1362.6979701757468</v>
      </c>
      <c r="N26" s="35">
        <f>+'Title IV-D'!E26*'Pop Data'!Z26</f>
        <v>46798.762107529845</v>
      </c>
      <c r="O26" s="35">
        <f>+'Title XX'!D26*0.001</f>
        <v>3791.3254162140024</v>
      </c>
      <c r="P26" s="35">
        <f>+TANF!E26*TANF!V26</f>
        <v>101016.05322508766</v>
      </c>
      <c r="Q26" s="35">
        <f>+Nutrition!AH26</f>
        <v>167580.47950575119</v>
      </c>
      <c r="R26" s="41">
        <v>0</v>
      </c>
      <c r="S26" s="35">
        <f>+(+'Tax Credits'!O26*'Low Income Pop'!G26)+('Tax Credits'!P26*'Pop Data'!Z26)</f>
        <v>373076.77054568217</v>
      </c>
      <c r="T26" s="35">
        <f t="shared" si="0"/>
        <v>1375830.2696507256</v>
      </c>
    </row>
    <row r="27" spans="1:20" x14ac:dyDescent="0.2">
      <c r="A27" s="41" t="s">
        <v>5</v>
      </c>
      <c r="B27" s="41">
        <v>0</v>
      </c>
      <c r="C27" s="41">
        <v>0</v>
      </c>
      <c r="D27" s="35">
        <f>+'Head Start'!I27+'Early Intervention'!B28</f>
        <v>38583.468859156805</v>
      </c>
      <c r="E27" s="35">
        <f>+Medicaid!J27*'Low Income Pop'!G27</f>
        <v>275945.79695257766</v>
      </c>
      <c r="F27" s="35">
        <f>+CHIP!E27*'Low Income Pop'!G27</f>
        <v>45278.725553446282</v>
      </c>
      <c r="G27" s="35">
        <f>+'Mental Health'!H27*'Pop Data'!Z27</f>
        <v>15923.083562845353</v>
      </c>
      <c r="H27" s="35">
        <f>+Immunizations!E27*'Pop Data'!Z27</f>
        <v>7890.7965617784275</v>
      </c>
      <c r="I27" s="35">
        <f>+MCHBG!I27*'Pop Data'!Z27</f>
        <v>2717.7091219629347</v>
      </c>
      <c r="J27" s="35">
        <f>+'Title IV-E'!T27</f>
        <v>4838.0161928762045</v>
      </c>
      <c r="K27" s="35">
        <f>+'CW - State and Local Share'!D27*'Pop Data'!Z27</f>
        <v>8529.5515158996041</v>
      </c>
      <c r="L27" s="35">
        <f>+'Child Care &amp; Dev Fd'!G27*'Child Care &amp; Dev Fd'!T27</f>
        <v>21803.31</v>
      </c>
      <c r="M27" s="35">
        <f>+'Title IV-B'!F27</f>
        <v>1629.3828926058532</v>
      </c>
      <c r="N27" s="35">
        <f>+'Title IV-D'!E27*'Pop Data'!Z27</f>
        <v>8626.1402353042195</v>
      </c>
      <c r="O27" s="35">
        <f>+'Title XX'!D27*0.001</f>
        <v>3704.1260248147223</v>
      </c>
      <c r="P27" s="35">
        <f>+TANF!E27*TANF!V27</f>
        <v>23170.737654949804</v>
      </c>
      <c r="Q27" s="35">
        <f>+Nutrition!AH27</f>
        <v>170819.11532345955</v>
      </c>
      <c r="R27" s="41">
        <v>0</v>
      </c>
      <c r="S27" s="35">
        <f>+(+'Tax Credits'!O27*'Low Income Pop'!G27)+('Tax Credits'!P27*'Pop Data'!Z27)</f>
        <v>341391.76312194759</v>
      </c>
      <c r="T27" s="35">
        <f t="shared" si="0"/>
        <v>970851.72357362509</v>
      </c>
    </row>
    <row r="28" spans="1:20" x14ac:dyDescent="0.2">
      <c r="A28" s="41" t="s">
        <v>6</v>
      </c>
      <c r="B28" s="41">
        <v>0</v>
      </c>
      <c r="C28" s="41">
        <v>0</v>
      </c>
      <c r="D28" s="35">
        <f>+'Head Start'!I28+'Early Intervention'!B29</f>
        <v>28513.184264939257</v>
      </c>
      <c r="E28" s="35">
        <f>+Medicaid!J28*'Low Income Pop'!G28</f>
        <v>574032.92025880853</v>
      </c>
      <c r="F28" s="35">
        <f>+CHIP!E28*'Low Income Pop'!G28</f>
        <v>36369.525844367025</v>
      </c>
      <c r="G28" s="35">
        <f>+'Mental Health'!H28*'Pop Data'!Z28</f>
        <v>12941.672515797265</v>
      </c>
      <c r="H28" s="35">
        <f>+Immunizations!E28*'Pop Data'!Z28</f>
        <v>10708.611895634765</v>
      </c>
      <c r="I28" s="35">
        <f>+MCHBG!I28*'Pop Data'!Z28</f>
        <v>3304.2554694597343</v>
      </c>
      <c r="J28" s="35">
        <f>+'Title IV-E'!T28</f>
        <v>23257.425675056555</v>
      </c>
      <c r="K28" s="35">
        <f>+'CW - State and Local Share'!D28*'Pop Data'!Z28</f>
        <v>38802.725437218338</v>
      </c>
      <c r="L28" s="35">
        <f>+'Child Care &amp; Dev Fd'!G28*'Child Care &amp; Dev Fd'!T28</f>
        <v>48021.9</v>
      </c>
      <c r="M28" s="35">
        <f>+'Title IV-B'!F28</f>
        <v>3383.221263176863</v>
      </c>
      <c r="N28" s="35">
        <f>+'Title IV-D'!E28*'Pop Data'!Z28</f>
        <v>22419.18539126098</v>
      </c>
      <c r="O28" s="35">
        <f>+'Title XX'!D28*0.001</f>
        <v>9718.9605106593299</v>
      </c>
      <c r="P28" s="35">
        <f>+TANF!E28*TANF!V28</f>
        <v>129312.33998424135</v>
      </c>
      <c r="Q28" s="35">
        <f>+Nutrition!AH28</f>
        <v>259904.10441429133</v>
      </c>
      <c r="R28" s="41">
        <v>0</v>
      </c>
      <c r="S28" s="35">
        <f>+(+'Tax Credits'!O28*'Low Income Pop'!G28)+('Tax Credits'!P28*'Pop Data'!Z28)</f>
        <v>452358.91189927468</v>
      </c>
      <c r="T28" s="35">
        <f t="shared" si="0"/>
        <v>1653048.9448241862</v>
      </c>
    </row>
    <row r="29" spans="1:20" x14ac:dyDescent="0.2">
      <c r="A29" s="41" t="s">
        <v>7</v>
      </c>
      <c r="B29" s="41">
        <v>0</v>
      </c>
      <c r="C29" s="41">
        <v>0</v>
      </c>
      <c r="D29" s="35">
        <f>+'Head Start'!I29+'Early Intervention'!B30</f>
        <v>4139.0977831858409</v>
      </c>
      <c r="E29" s="35">
        <f>+Medicaid!J29*'Low Income Pop'!G29</f>
        <v>60374.106454501227</v>
      </c>
      <c r="F29" s="35">
        <f>+CHIP!E29*'Low Income Pop'!G29</f>
        <v>16546.148078065493</v>
      </c>
      <c r="G29" s="35">
        <f>+'Mental Health'!H29*'Pop Data'!Z29</f>
        <v>15732.704045601638</v>
      </c>
      <c r="H29" s="35">
        <f>+Immunizations!E29*'Pop Data'!Z29</f>
        <v>1552.8722476259122</v>
      </c>
      <c r="I29" s="35">
        <f>+MCHBG!I29*'Pop Data'!Z29</f>
        <v>657.71869350391921</v>
      </c>
      <c r="J29" s="35">
        <f>+'Title IV-E'!T29</f>
        <v>4427.6247193440859</v>
      </c>
      <c r="K29" s="35">
        <f>+'CW - State and Local Share'!D29*'Pop Data'!Z29</f>
        <v>5827.7893684115688</v>
      </c>
      <c r="L29" s="35">
        <f>+'Child Care &amp; Dev Fd'!G29*'Child Care &amp; Dev Fd'!T29</f>
        <v>9260.4600000000009</v>
      </c>
      <c r="M29" s="35">
        <f>+'Title IV-B'!F29</f>
        <v>245.77276932704655</v>
      </c>
      <c r="N29" s="35">
        <f>+'Title IV-D'!E29*'Pop Data'!Z29</f>
        <v>4190.435750968556</v>
      </c>
      <c r="O29" s="35">
        <f>+'Title XX'!D29*0.001</f>
        <v>1073.3632951504594</v>
      </c>
      <c r="P29" s="35">
        <f>+TANF!E29*TANF!V29</f>
        <v>10328.601302510961</v>
      </c>
      <c r="Q29" s="35">
        <f>+Nutrition!AH29</f>
        <v>37783.582044579365</v>
      </c>
      <c r="R29" s="41">
        <v>0</v>
      </c>
      <c r="S29" s="35">
        <f>+(+'Tax Credits'!O29*'Low Income Pop'!G29)+('Tax Credits'!P29*'Pop Data'!Z29)</f>
        <v>64670.486859580982</v>
      </c>
      <c r="T29" s="35">
        <f t="shared" si="0"/>
        <v>236810.76341235702</v>
      </c>
    </row>
    <row r="30" spans="1:20" x14ac:dyDescent="0.2">
      <c r="A30" s="41" t="s">
        <v>8</v>
      </c>
      <c r="B30" s="41">
        <v>0</v>
      </c>
      <c r="C30" s="41">
        <v>0</v>
      </c>
      <c r="D30" s="35">
        <f>+'Head Start'!I30+'Early Intervention'!B31</f>
        <v>62235.804223801068</v>
      </c>
      <c r="E30" s="35">
        <f>+Medicaid!J30*'Low Income Pop'!G30</f>
        <v>107987.52952694641</v>
      </c>
      <c r="F30" s="35">
        <f>+CHIP!E30*'Low Income Pop'!G30</f>
        <v>14249.24229244492</v>
      </c>
      <c r="G30" s="35">
        <f>+'Mental Health'!H30*'Pop Data'!Z30</f>
        <v>2031.7119530103344</v>
      </c>
      <c r="H30" s="35">
        <f>+Immunizations!E30*'Pop Data'!Z30</f>
        <v>4262.939548336768</v>
      </c>
      <c r="I30" s="35">
        <f>+MCHBG!I30*'Pop Data'!Z30</f>
        <v>1087.3651067921148</v>
      </c>
      <c r="J30" s="35">
        <f>+'Title IV-E'!T30</f>
        <v>5568.9078630139938</v>
      </c>
      <c r="K30" s="35">
        <f>+'CW - State and Local Share'!D30*'Pop Data'!Z30</f>
        <v>28808.805856648072</v>
      </c>
      <c r="L30" s="35">
        <f>+'Child Care &amp; Dev Fd'!G30*'Child Care &amp; Dev Fd'!T30</f>
        <v>32436.85</v>
      </c>
      <c r="M30" s="35">
        <f>+'Title IV-B'!F30</f>
        <v>666.94973598178376</v>
      </c>
      <c r="N30" s="35">
        <f>+'Title IV-D'!E30*'Pop Data'!Z30</f>
        <v>9832.5120229604763</v>
      </c>
      <c r="O30" s="35">
        <f>+'Title XX'!D30*0.001</f>
        <v>773.47536058242667</v>
      </c>
      <c r="P30" s="35">
        <f>+TANF!E30*TANF!V30</f>
        <v>18981.747156751866</v>
      </c>
      <c r="Q30" s="35">
        <f>+Nutrition!AH30</f>
        <v>64579.038572664067</v>
      </c>
      <c r="R30" s="41">
        <v>0</v>
      </c>
      <c r="S30" s="35">
        <f>+(+'Tax Credits'!O30*'Low Income Pop'!G30)+('Tax Credits'!P30*'Pop Data'!Z30)</f>
        <v>146999.06551666019</v>
      </c>
      <c r="T30" s="35">
        <f t="shared" si="0"/>
        <v>500501.94473659445</v>
      </c>
    </row>
    <row r="31" spans="1:20" x14ac:dyDescent="0.2">
      <c r="A31" s="41" t="s">
        <v>92</v>
      </c>
      <c r="B31" s="41">
        <v>0</v>
      </c>
      <c r="C31" s="41">
        <v>0</v>
      </c>
      <c r="D31" s="35">
        <f>+'Head Start'!I31+'Early Intervention'!B32</f>
        <v>8406.6434194178983</v>
      </c>
      <c r="E31" s="35">
        <f>+Medicaid!J31*'Low Income Pop'!G31</f>
        <v>141646.30541136247</v>
      </c>
      <c r="F31" s="35">
        <f>+CHIP!E31*'Low Income Pop'!G31</f>
        <v>9901.556930911267</v>
      </c>
      <c r="G31" s="35">
        <f>+'Mental Health'!H31*'Pop Data'!Z31</f>
        <v>5008.4043157480273</v>
      </c>
      <c r="H31" s="35">
        <f>+Immunizations!E31*'Pop Data'!Z31</f>
        <v>6181.2823101857639</v>
      </c>
      <c r="I31" s="35">
        <f>+MCHBG!I31*'Pop Data'!Z31</f>
        <v>452.54378180272852</v>
      </c>
      <c r="J31" s="35">
        <f>+'Title IV-E'!T31</f>
        <v>13744.491444785355</v>
      </c>
      <c r="K31" s="35">
        <f>+'CW - State and Local Share'!D31*'Pop Data'!Z31</f>
        <v>9962.5252304534624</v>
      </c>
      <c r="L31" s="35">
        <f>+'Child Care &amp; Dev Fd'!G31*'Child Care &amp; Dev Fd'!T31</f>
        <v>13996.36</v>
      </c>
      <c r="M31" s="35">
        <f>+'Title IV-B'!F31</f>
        <v>1206.1952641536895</v>
      </c>
      <c r="N31" s="35">
        <f>+'Title IV-D'!E31*'Pop Data'!Z31</f>
        <v>13793.863375041252</v>
      </c>
      <c r="O31" s="35">
        <f>+'Title XX'!D31*0.001</f>
        <v>2340.1047215537924</v>
      </c>
      <c r="P31" s="35">
        <f>+TANF!E31*TANF!V31</f>
        <v>23518.232069234378</v>
      </c>
      <c r="Q31" s="35">
        <f>+Nutrition!AH31</f>
        <v>99810.360194327877</v>
      </c>
      <c r="R31" s="41">
        <v>0</v>
      </c>
      <c r="S31" s="35">
        <f>+(+'Tax Credits'!O31*'Low Income Pop'!G31)+('Tax Credits'!P31*'Pop Data'!Z31)</f>
        <v>222934.7716649166</v>
      </c>
      <c r="T31" s="35">
        <f t="shared" si="0"/>
        <v>572903.64013389451</v>
      </c>
    </row>
    <row r="32" spans="1:20" x14ac:dyDescent="0.2">
      <c r="A32" s="41" t="s">
        <v>9</v>
      </c>
      <c r="B32" s="41">
        <v>0</v>
      </c>
      <c r="C32" s="41">
        <v>0</v>
      </c>
      <c r="D32" s="35">
        <f>+'Head Start'!I32+'Early Intervention'!B33</f>
        <v>102265.02985372585</v>
      </c>
      <c r="E32" s="35">
        <f>+Medicaid!J32*'Low Income Pop'!G32</f>
        <v>75781.655232054865</v>
      </c>
      <c r="F32" s="35">
        <f>+CHIP!E32*'Low Income Pop'!G32</f>
        <v>4041.4064663412737</v>
      </c>
      <c r="G32" s="35">
        <f>+'Mental Health'!H32*'Pop Data'!Z32</f>
        <v>6204.3987266498452</v>
      </c>
      <c r="H32" s="35">
        <f>+Immunizations!E32*'Pop Data'!Z32</f>
        <v>1556.4405161766847</v>
      </c>
      <c r="I32" s="35">
        <f>+MCHBG!I32*'Pop Data'!Z32</f>
        <v>861.89325554504444</v>
      </c>
      <c r="J32" s="35">
        <f>+'Title IV-E'!T32</f>
        <v>2788.3116064619412</v>
      </c>
      <c r="K32" s="35">
        <f>+'CW - State and Local Share'!D32*'Pop Data'!Z32</f>
        <v>5029.7325862319904</v>
      </c>
      <c r="L32" s="35">
        <f>+'Child Care &amp; Dev Fd'!G32*'Child Care &amp; Dev Fd'!T32</f>
        <v>8346.2999999999993</v>
      </c>
      <c r="M32" s="35">
        <f>+'Title IV-B'!F32</f>
        <v>358.93285992783206</v>
      </c>
      <c r="N32" s="35">
        <f>+'Title IV-D'!E32*'Pop Data'!Z32</f>
        <v>4635.0453209139869</v>
      </c>
      <c r="O32" s="35">
        <f>+'Title XX'!D32*0.001</f>
        <v>537.56127759079789</v>
      </c>
      <c r="P32" s="35">
        <f>+TANF!E32*TANF!V32</f>
        <v>18166.737255850461</v>
      </c>
      <c r="Q32" s="35">
        <f>+Nutrition!AH32</f>
        <v>29776.608302581357</v>
      </c>
      <c r="R32" s="41">
        <v>0</v>
      </c>
      <c r="S32" s="35">
        <f>+(+'Tax Credits'!O32*'Low Income Pop'!G32)+('Tax Credits'!P32*'Pop Data'!Z32)</f>
        <v>58482.1210276973</v>
      </c>
      <c r="T32" s="35">
        <f t="shared" si="0"/>
        <v>318832.17428774922</v>
      </c>
    </row>
    <row r="33" spans="1:20" x14ac:dyDescent="0.2">
      <c r="A33" s="41" t="s">
        <v>10</v>
      </c>
      <c r="B33" s="41">
        <v>0</v>
      </c>
      <c r="C33" s="41">
        <v>0</v>
      </c>
      <c r="D33" s="35">
        <f>+'Head Start'!I33+'Early Intervention'!B34</f>
        <v>38833.255291214693</v>
      </c>
      <c r="E33" s="35">
        <f>+Medicaid!J33*'Low Income Pop'!G33</f>
        <v>515151.56489889056</v>
      </c>
      <c r="F33" s="35">
        <f>+CHIP!E33*'Low Income Pop'!G33</f>
        <v>205415.15394633732</v>
      </c>
      <c r="G33" s="35">
        <f>+'Mental Health'!H33*'Pop Data'!Z33</f>
        <v>50298.303898246493</v>
      </c>
      <c r="H33" s="35">
        <f>+Immunizations!E33*'Pop Data'!Z33</f>
        <v>12540.606188819098</v>
      </c>
      <c r="I33" s="35">
        <f>+MCHBG!I33*'Pop Data'!Z33</f>
        <v>14521.396841325237</v>
      </c>
      <c r="J33" s="35">
        <f>+'Title IV-E'!T33</f>
        <v>43908.360866939343</v>
      </c>
      <c r="K33" s="35">
        <f>+'CW - State and Local Share'!D33*'Pop Data'!Z33</f>
        <v>100695.20672291135</v>
      </c>
      <c r="L33" s="35">
        <f>+'Child Care &amp; Dev Fd'!G33*'Child Care &amp; Dev Fd'!T33</f>
        <v>75520.2</v>
      </c>
      <c r="M33" s="35">
        <f>+'Title IV-B'!F33</f>
        <v>2082.5720671329323</v>
      </c>
      <c r="N33" s="35">
        <f>+'Title IV-D'!E33*'Pop Data'!Z33</f>
        <v>72476.314838648541</v>
      </c>
      <c r="O33" s="35">
        <f>+'Title XX'!D33*0.001</f>
        <v>7832.7893634356906</v>
      </c>
      <c r="P33" s="35">
        <f>+TANF!E33*TANF!V33</f>
        <v>240584.27805715735</v>
      </c>
      <c r="Q33" s="35">
        <f>+Nutrition!AH33</f>
        <v>288326.48933401157</v>
      </c>
      <c r="R33" s="41">
        <v>0</v>
      </c>
      <c r="S33" s="35">
        <f>+(+'Tax Credits'!O33*'Low Income Pop'!G33)+('Tax Credits'!P33*'Pop Data'!Z33)</f>
        <v>543868.11421267584</v>
      </c>
      <c r="T33" s="35">
        <f t="shared" si="0"/>
        <v>2212054.6065277457</v>
      </c>
    </row>
    <row r="34" spans="1:20" x14ac:dyDescent="0.2">
      <c r="A34" s="41" t="s">
        <v>11</v>
      </c>
      <c r="B34" s="41">
        <v>0</v>
      </c>
      <c r="C34" s="41">
        <v>0</v>
      </c>
      <c r="D34" s="35">
        <f>+'Head Start'!I34+'Early Intervention'!B35</f>
        <v>435441.15193011193</v>
      </c>
      <c r="E34" s="35">
        <f>+Medicaid!J34*'Low Income Pop'!G34</f>
        <v>406623.77882088459</v>
      </c>
      <c r="F34" s="35">
        <f>+CHIP!E34*'Low Income Pop'!G34</f>
        <v>34676.886507949501</v>
      </c>
      <c r="G34" s="35">
        <f>+'Mental Health'!H34*'Pop Data'!Z34</f>
        <v>23863.669762577705</v>
      </c>
      <c r="H34" s="35">
        <f>+Immunizations!E34*'Pop Data'!Z34</f>
        <v>6583.6698029515474</v>
      </c>
      <c r="I34" s="35">
        <f>+MCHBG!I34*'Pop Data'!Z34</f>
        <v>1184.9934566967704</v>
      </c>
      <c r="J34" s="35">
        <f>+'Title IV-E'!T34</f>
        <v>9987.300386659721</v>
      </c>
      <c r="K34" s="35">
        <f>+'CW - State and Local Share'!D34*'Pop Data'!Z34</f>
        <v>6033.3148343253461</v>
      </c>
      <c r="L34" s="35">
        <f>+'Child Care &amp; Dev Fd'!G34*'Child Care &amp; Dev Fd'!T34</f>
        <v>20985.850000000002</v>
      </c>
      <c r="M34" s="35">
        <f>+'Title IV-B'!F34</f>
        <v>755.15787581072595</v>
      </c>
      <c r="N34" s="35">
        <f>+'Title IV-D'!E34*'Pop Data'!Z34</f>
        <v>11638.281788811955</v>
      </c>
      <c r="O34" s="35">
        <f>+'Title XX'!D34*0.001</f>
        <v>1578.1022610877856</v>
      </c>
      <c r="P34" s="35">
        <f>+TANF!E34*TANF!V34</f>
        <v>43970.72755934314</v>
      </c>
      <c r="Q34" s="35">
        <f>+Nutrition!AH34</f>
        <v>107027.50154305778</v>
      </c>
      <c r="R34" s="41">
        <v>0</v>
      </c>
      <c r="S34" s="35">
        <f>+(+'Tax Credits'!O34*'Low Income Pop'!G34)+('Tax Credits'!P34*'Pop Data'!Z34)</f>
        <v>194993.10259214038</v>
      </c>
      <c r="T34" s="35">
        <f t="shared" si="0"/>
        <v>1305343.4891224089</v>
      </c>
    </row>
    <row r="35" spans="1:20" s="23" customFormat="1" x14ac:dyDescent="0.2">
      <c r="A35" s="42" t="s">
        <v>12</v>
      </c>
      <c r="B35" s="42">
        <v>0</v>
      </c>
      <c r="C35" s="42">
        <v>0</v>
      </c>
      <c r="D35" s="37">
        <f>+'Head Start'!I35+'Early Intervention'!B36</f>
        <v>116986.50838414552</v>
      </c>
      <c r="E35" s="37">
        <f>+Medicaid!J35*'Low Income Pop'!G35</f>
        <v>1647981.3679571734</v>
      </c>
      <c r="F35" s="37">
        <f>+CHIP!E35*'Low Income Pop'!G35</f>
        <v>188839.27048356723</v>
      </c>
      <c r="G35" s="37">
        <f>+'Mental Health'!H35*'Pop Data'!Z35</f>
        <v>124510.1250840334</v>
      </c>
      <c r="H35" s="37">
        <f>+Immunizations!E35*'Pop Data'!Z35</f>
        <v>42688.828484541729</v>
      </c>
      <c r="I35" s="37">
        <f>+MCHBG!I35*'Pop Data'!Z35</f>
        <v>30720.072149984728</v>
      </c>
      <c r="J35" s="37">
        <f>+'Title IV-E'!T35</f>
        <v>83294.63046180598</v>
      </c>
      <c r="K35" s="37">
        <f>+'CW - State and Local Share'!D35*'Pop Data'!Z35</f>
        <v>288841.10271315556</v>
      </c>
      <c r="L35" s="37">
        <f>+'Child Care &amp; Dev Fd'!G35*'Child Care &amp; Dev Fd'!T35</f>
        <v>221797.68000000002</v>
      </c>
      <c r="M35" s="37">
        <f>+'Title IV-B'!F35</f>
        <v>6372.940148207239</v>
      </c>
      <c r="N35" s="37">
        <f>+'Title IV-D'!E35*'Pop Data'!Z35</f>
        <v>105144.87639761547</v>
      </c>
      <c r="O35" s="37">
        <f>+'Title XX'!D35*0.001</f>
        <v>39583.573631276689</v>
      </c>
      <c r="P35" s="37">
        <f>+TANF!E35*TANF!V35</f>
        <v>903446.61718273279</v>
      </c>
      <c r="Q35" s="37">
        <f>+Nutrition!AH35</f>
        <v>1071047.1291657705</v>
      </c>
      <c r="R35" s="42">
        <v>0</v>
      </c>
      <c r="S35" s="37">
        <f>+(+'Tax Credits'!O35*'Low Income Pop'!G35)+('Tax Credits'!P35*'Pop Data'!Z35)</f>
        <v>1780489.8294030332</v>
      </c>
      <c r="T35" s="37">
        <f t="shared" si="0"/>
        <v>6651744.5516470438</v>
      </c>
    </row>
    <row r="36" spans="1:20" x14ac:dyDescent="0.2">
      <c r="A36" s="41" t="s">
        <v>13</v>
      </c>
      <c r="B36" s="41">
        <v>0</v>
      </c>
      <c r="C36" s="41">
        <v>0</v>
      </c>
      <c r="D36" s="35">
        <f>+'Head Start'!I36+'Early Intervention'!B37</f>
        <v>55246.034580040468</v>
      </c>
      <c r="E36" s="35">
        <f>+Medicaid!J36*'Low Income Pop'!G36</f>
        <v>787444.64026986214</v>
      </c>
      <c r="F36" s="35">
        <f>+CHIP!E36*'Low Income Pop'!G36</f>
        <v>85463.292495668211</v>
      </c>
      <c r="G36" s="35">
        <f>+'Mental Health'!H36*'Pop Data'!Z36</f>
        <v>106204.32342307057</v>
      </c>
      <c r="H36" s="35">
        <f>+Immunizations!E36*'Pop Data'!Z36</f>
        <v>17836.442707542614</v>
      </c>
      <c r="I36" s="35">
        <f>+MCHBG!I36*'Pop Data'!Z36</f>
        <v>6970.1854068036773</v>
      </c>
      <c r="J36" s="35">
        <f>+'Title IV-E'!T36</f>
        <v>27658.063835334622</v>
      </c>
      <c r="K36" s="35">
        <f>+'CW - State and Local Share'!D36*'Pop Data'!Z36</f>
        <v>36628.96349399614</v>
      </c>
      <c r="L36" s="35">
        <f>+'Child Care &amp; Dev Fd'!G36*'Child Care &amp; Dev Fd'!T36</f>
        <v>75236.7</v>
      </c>
      <c r="M36" s="35">
        <f>+'Title IV-B'!F36</f>
        <v>3381.3707309324227</v>
      </c>
      <c r="N36" s="35">
        <f>+'Title IV-D'!E36*'Pop Data'!Z36</f>
        <v>40516.268746326306</v>
      </c>
      <c r="O36" s="35">
        <f>+'Title XX'!D36*0.001</f>
        <v>5361.8982214160023</v>
      </c>
      <c r="P36" s="35">
        <f>+TANF!E36*TANF!V36</f>
        <v>118915.2773143306</v>
      </c>
      <c r="Q36" s="35">
        <f>+Nutrition!AH36</f>
        <v>448923.07976680819</v>
      </c>
      <c r="R36" s="41">
        <v>0</v>
      </c>
      <c r="S36" s="35">
        <f>+(+'Tax Credits'!O36*'Low Income Pop'!G36)+('Tax Credits'!P36*'Pop Data'!Z36)</f>
        <v>830992.96003484586</v>
      </c>
      <c r="T36" s="35">
        <f t="shared" ref="T36:T53" si="1">SUM(B36:S36)</f>
        <v>2646779.5010269778</v>
      </c>
    </row>
    <row r="37" spans="1:20" x14ac:dyDescent="0.2">
      <c r="A37" s="41" t="s">
        <v>14</v>
      </c>
      <c r="B37" s="41">
        <v>0</v>
      </c>
      <c r="C37" s="41">
        <v>0</v>
      </c>
      <c r="D37" s="35">
        <f>+'Head Start'!I37+'Early Intervention'!B38</f>
        <v>117304.76808778626</v>
      </c>
      <c r="E37" s="35">
        <f>+Medicaid!J37*'Low Income Pop'!G37</f>
        <v>29166.013422669083</v>
      </c>
      <c r="F37" s="35">
        <f>+CHIP!E37*'Low Income Pop'!G37</f>
        <v>4641.334329589713</v>
      </c>
      <c r="G37" s="35">
        <f>+'Mental Health'!H37*'Pop Data'!Z37</f>
        <v>626.76609402740144</v>
      </c>
      <c r="H37" s="35">
        <f>+Immunizations!E37*'Pop Data'!Z37</f>
        <v>1449.8962780192487</v>
      </c>
      <c r="I37" s="35">
        <f>+MCHBG!I37*'Pop Data'!Z37</f>
        <v>540.46922477491466</v>
      </c>
      <c r="J37" s="35">
        <f>+'Title IV-E'!T37</f>
        <v>3863.6940022767258</v>
      </c>
      <c r="K37" s="35">
        <f>+'CW - State and Local Share'!D37*'Pop Data'!Z37</f>
        <v>4487.7426523853874</v>
      </c>
      <c r="L37" s="35">
        <f>+'Child Care &amp; Dev Fd'!G37*'Child Care &amp; Dev Fd'!T37</f>
        <v>4330.5600000000004</v>
      </c>
      <c r="M37" s="35">
        <f>+'Title IV-B'!F37</f>
        <v>199.02146269551008</v>
      </c>
      <c r="N37" s="35">
        <f>+'Title IV-D'!E37*'Pop Data'!Z37</f>
        <v>4650.3084769222805</v>
      </c>
      <c r="O37" s="35">
        <f>+'Title XX'!D37*0.001</f>
        <v>163.76043372452384</v>
      </c>
      <c r="P37" s="35">
        <f>+TANF!E37*TANF!V37</f>
        <v>9415.8139338896526</v>
      </c>
      <c r="Q37" s="35">
        <f>+Nutrition!AH37</f>
        <v>24849.15032537709</v>
      </c>
      <c r="R37" s="41">
        <v>0</v>
      </c>
      <c r="S37" s="35">
        <f>+(+'Tax Credits'!O37*'Low Income Pop'!G37)+('Tax Credits'!P37*'Pop Data'!Z37)</f>
        <v>39485.861592245172</v>
      </c>
      <c r="T37" s="35">
        <f t="shared" si="1"/>
        <v>245175.16031638291</v>
      </c>
    </row>
    <row r="38" spans="1:20" x14ac:dyDescent="0.2">
      <c r="A38" s="41" t="s">
        <v>15</v>
      </c>
      <c r="B38" s="41">
        <v>0</v>
      </c>
      <c r="C38" s="41">
        <v>0</v>
      </c>
      <c r="D38" s="35">
        <f>+'Head Start'!I38+'Early Intervention'!B39</f>
        <v>50469.267568603464</v>
      </c>
      <c r="E38" s="35">
        <f>+Medicaid!J38*'Low Income Pop'!G38</f>
        <v>708387.60994132224</v>
      </c>
      <c r="F38" s="35">
        <f>+CHIP!E38*'Low Income Pop'!G38</f>
        <v>96347.030282253807</v>
      </c>
      <c r="G38" s="35">
        <f>+'Mental Health'!H38*'Pop Data'!Z38</f>
        <v>58070.978425140798</v>
      </c>
      <c r="H38" s="35">
        <f>+Immunizations!E38*'Pop Data'!Z38</f>
        <v>17824.109459073072</v>
      </c>
      <c r="I38" s="35">
        <f>+MCHBG!I38*'Pop Data'!Z38</f>
        <v>9013.3308041997625</v>
      </c>
      <c r="J38" s="35">
        <f>+'Title IV-E'!T38</f>
        <v>99724.003841854515</v>
      </c>
      <c r="K38" s="35">
        <f>+'CW - State and Local Share'!D38*'Pop Data'!Z38</f>
        <v>137863.67379341467</v>
      </c>
      <c r="L38" s="35">
        <f>+'Child Care &amp; Dev Fd'!G38*'Child Care &amp; Dev Fd'!T38</f>
        <v>89362.5</v>
      </c>
      <c r="M38" s="35">
        <f>+'Title IV-B'!F38</f>
        <v>5012.9521625773577</v>
      </c>
      <c r="N38" s="35">
        <f>+'Title IV-D'!E38*'Pop Data'!Z38</f>
        <v>62580.396846235686</v>
      </c>
      <c r="O38" s="35">
        <f>+'Title XX'!D38*0.001</f>
        <v>5085.9872314401919</v>
      </c>
      <c r="P38" s="35">
        <f>+TANF!E38*TANF!V38</f>
        <v>236647.47398915436</v>
      </c>
      <c r="Q38" s="35">
        <f>+Nutrition!AH38</f>
        <v>418934.77430281317</v>
      </c>
      <c r="R38" s="41">
        <v>0</v>
      </c>
      <c r="S38" s="35">
        <f>+(+'Tax Credits'!O38*'Low Income Pop'!G38)+('Tax Credits'!P38*'Pop Data'!Z38)</f>
        <v>808163.90821444103</v>
      </c>
      <c r="T38" s="35">
        <f t="shared" si="1"/>
        <v>2803487.9968625242</v>
      </c>
    </row>
    <row r="39" spans="1:20" x14ac:dyDescent="0.2">
      <c r="A39" s="41" t="s">
        <v>16</v>
      </c>
      <c r="B39" s="41">
        <v>0</v>
      </c>
      <c r="C39" s="41">
        <v>0</v>
      </c>
      <c r="D39" s="35">
        <f>+'Head Start'!I39+'Early Intervention'!B40</f>
        <v>14833.871973993329</v>
      </c>
      <c r="E39" s="35">
        <f>+Medicaid!J39*'Low Income Pop'!G39</f>
        <v>352946.01432467537</v>
      </c>
      <c r="F39" s="35">
        <f>+CHIP!E39*'Low Income Pop'!G39</f>
        <v>33323.31973995435</v>
      </c>
      <c r="G39" s="35">
        <f>+'Mental Health'!H39*'Pop Data'!Z39</f>
        <v>3634.4955067624683</v>
      </c>
      <c r="H39" s="35">
        <f>+Immunizations!E39*'Pop Data'!Z39</f>
        <v>10647.986619422785</v>
      </c>
      <c r="I39" s="35">
        <f>+MCHBG!I39*'Pop Data'!Z39</f>
        <v>2208.3697364532204</v>
      </c>
      <c r="J39" s="35">
        <f>+'Title IV-E'!T39</f>
        <v>17647.270038157043</v>
      </c>
      <c r="K39" s="35">
        <f>+'CW - State and Local Share'!D39*'Pop Data'!Z39</f>
        <v>17873.175873167598</v>
      </c>
      <c r="L39" s="35">
        <f>+'Child Care &amp; Dev Fd'!G39*'Child Care &amp; Dev Fd'!T39</f>
        <v>45066.999999999993</v>
      </c>
      <c r="M39" s="35">
        <f>+'Title IV-B'!F39</f>
        <v>1192.4397150346726</v>
      </c>
      <c r="N39" s="35">
        <f>+'Title IV-D'!E39*'Pop Data'!Z39</f>
        <v>21129.356996169041</v>
      </c>
      <c r="O39" s="35">
        <f>+'Title XX'!D39*0.001</f>
        <v>8500.1784680000001</v>
      </c>
      <c r="P39" s="35">
        <f>+TANF!E39*TANF!V39</f>
        <v>27345.971931695811</v>
      </c>
      <c r="Q39" s="35">
        <f>+Nutrition!AH39</f>
        <v>183216.1499909831</v>
      </c>
      <c r="R39" s="41">
        <v>0</v>
      </c>
      <c r="S39" s="35">
        <f>+(+'Tax Credits'!O39*'Low Income Pop'!G39)+('Tax Credits'!P39*'Pop Data'!Z39)</f>
        <v>325913.99321276339</v>
      </c>
      <c r="T39" s="35">
        <f t="shared" si="1"/>
        <v>1065479.5941272322</v>
      </c>
    </row>
    <row r="40" spans="1:20" x14ac:dyDescent="0.2">
      <c r="A40" s="41" t="s">
        <v>17</v>
      </c>
      <c r="B40" s="41">
        <v>0</v>
      </c>
      <c r="C40" s="41">
        <v>0</v>
      </c>
      <c r="D40" s="35">
        <f>+'Head Start'!I40+'Early Intervention'!B41</f>
        <v>116422.369099156</v>
      </c>
      <c r="E40" s="35">
        <f>+Medicaid!J40*'Low Income Pop'!G40</f>
        <v>218219.81706391805</v>
      </c>
      <c r="F40" s="35">
        <f>+CHIP!E40*'Low Income Pop'!G40</f>
        <v>42317.052709645599</v>
      </c>
      <c r="G40" s="35">
        <f>+'Mental Health'!H40*'Pop Data'!Z40</f>
        <v>23966.322948781803</v>
      </c>
      <c r="H40" s="35">
        <f>+Immunizations!E40*'Pop Data'!Z40</f>
        <v>6155.5160677217928</v>
      </c>
      <c r="I40" s="35">
        <f>+MCHBG!I40*'Pop Data'!Z40</f>
        <v>6541.6284223017246</v>
      </c>
      <c r="J40" s="35">
        <f>+'Title IV-E'!T40</f>
        <v>22069.080467400399</v>
      </c>
      <c r="K40" s="35">
        <f>+'CW - State and Local Share'!D40*'Pop Data'!Z40</f>
        <v>32175.923371879006</v>
      </c>
      <c r="L40" s="35">
        <f>+'Child Care &amp; Dev Fd'!G40*'Child Care &amp; Dev Fd'!T40</f>
        <v>19684.78</v>
      </c>
      <c r="M40" s="35">
        <f>+'Title IV-B'!F40</f>
        <v>1107.1808282877989</v>
      </c>
      <c r="N40" s="35">
        <f>+'Title IV-D'!E40*'Pop Data'!Z40</f>
        <v>18428.674586114259</v>
      </c>
      <c r="O40" s="35">
        <f>+'Title XX'!D40*0.001</f>
        <v>6104.017726</v>
      </c>
      <c r="P40" s="35">
        <f>+TANF!E40*TANF!V40</f>
        <v>77599.39129149713</v>
      </c>
      <c r="Q40" s="35">
        <f>+Nutrition!AH40</f>
        <v>209859.02626789169</v>
      </c>
      <c r="R40" s="41">
        <v>0</v>
      </c>
      <c r="S40" s="35">
        <f>+(+'Tax Credits'!O40*'Low Income Pop'!G40)+('Tax Credits'!P40*'Pop Data'!Z40)</f>
        <v>247284.44987438549</v>
      </c>
      <c r="T40" s="35">
        <f t="shared" si="1"/>
        <v>1047935.2307249808</v>
      </c>
    </row>
    <row r="41" spans="1:20" x14ac:dyDescent="0.2">
      <c r="A41" s="41" t="s">
        <v>18</v>
      </c>
      <c r="B41" s="41">
        <v>0</v>
      </c>
      <c r="C41" s="41">
        <v>0</v>
      </c>
      <c r="D41" s="35">
        <f>+'Head Start'!I41+'Early Intervention'!B42</f>
        <v>46681.107138448882</v>
      </c>
      <c r="E41" s="35">
        <f>+Medicaid!J41*'Low Income Pop'!G41</f>
        <v>1011879.1469800901</v>
      </c>
      <c r="F41" s="35">
        <f>+CHIP!E41*'Low Income Pop'!G41</f>
        <v>92662.035456608151</v>
      </c>
      <c r="G41" s="35">
        <f>+'Mental Health'!H41*'Pop Data'!Z41</f>
        <v>320128.54737869365</v>
      </c>
      <c r="H41" s="35">
        <f>+Immunizations!E41*'Pop Data'!Z41</f>
        <v>19783.386585903194</v>
      </c>
      <c r="I41" s="35">
        <f>+MCHBG!I41*'Pop Data'!Z41</f>
        <v>12390.210538491472</v>
      </c>
      <c r="J41" s="35">
        <f>+'Title IV-E'!T41</f>
        <v>66418.370507632004</v>
      </c>
      <c r="K41" s="35">
        <f>+'CW - State and Local Share'!D41*'Pop Data'!Z41</f>
        <v>203327.90130306574</v>
      </c>
      <c r="L41" s="35">
        <f>+'Child Care &amp; Dev Fd'!G41*'Child Care &amp; Dev Fd'!T41</f>
        <v>108635.25</v>
      </c>
      <c r="M41" s="35">
        <f>+'Title IV-B'!F41</f>
        <v>4026.962060478395</v>
      </c>
      <c r="N41" s="35">
        <f>+'Title IV-D'!E41*'Pop Data'!Z41</f>
        <v>63695.520298709271</v>
      </c>
      <c r="O41" s="35">
        <f>+'Title XX'!D41*0.001</f>
        <v>12187.800470895172</v>
      </c>
      <c r="P41" s="35">
        <f>+TANF!E41*TANF!V41</f>
        <v>214937.03020615887</v>
      </c>
      <c r="Q41" s="35">
        <f>+Nutrition!AH41</f>
        <v>496727.71488538274</v>
      </c>
      <c r="R41" s="41">
        <v>0</v>
      </c>
      <c r="S41" s="35">
        <f>+(+'Tax Credits'!O41*'Low Income Pop'!G41)+('Tax Credits'!P41*'Pop Data'!Z41)</f>
        <v>736263.72971863323</v>
      </c>
      <c r="T41" s="35">
        <f t="shared" si="1"/>
        <v>3409744.71352919</v>
      </c>
    </row>
    <row r="42" spans="1:20" x14ac:dyDescent="0.2">
      <c r="A42" s="41" t="s">
        <v>19</v>
      </c>
      <c r="B42" s="41">
        <v>0</v>
      </c>
      <c r="C42" s="41">
        <v>0</v>
      </c>
      <c r="D42" s="35">
        <f>+'Head Start'!I42+'Early Intervention'!B43</f>
        <v>6561.9400824088752</v>
      </c>
      <c r="E42" s="35">
        <f>+Medicaid!J42*'Low Income Pop'!G42</f>
        <v>107029.06716911173</v>
      </c>
      <c r="F42" s="35">
        <f>+CHIP!E42*'Low Income Pop'!G42</f>
        <v>12703.546502707497</v>
      </c>
      <c r="G42" s="35">
        <f>+'Mental Health'!H42*'Pop Data'!Z42</f>
        <v>0</v>
      </c>
      <c r="H42" s="35">
        <f>+Immunizations!E42*'Pop Data'!Z42</f>
        <v>2475.911553535298</v>
      </c>
      <c r="I42" s="35">
        <f>+MCHBG!I42*'Pop Data'!Z42</f>
        <v>533.48519637462232</v>
      </c>
      <c r="J42" s="35">
        <f>+'Title IV-E'!T42</f>
        <v>5044.6466922586551</v>
      </c>
      <c r="K42" s="35">
        <f>+'CW - State and Local Share'!D42*'Pop Data'!Z42</f>
        <v>16375.373485961363</v>
      </c>
      <c r="L42" s="35">
        <f>+'Child Care &amp; Dev Fd'!G42*'Child Care &amp; Dev Fd'!T42</f>
        <v>9076.56</v>
      </c>
      <c r="M42" s="35">
        <f>+'Title IV-B'!F42</f>
        <v>322.59880232202875</v>
      </c>
      <c r="N42" s="35">
        <f>+'Title IV-D'!E42*'Pop Data'!Z42</f>
        <v>3657.2493694392861</v>
      </c>
      <c r="O42" s="35">
        <f>+'Title XX'!D42*0.001</f>
        <v>2191.1736440748582</v>
      </c>
      <c r="P42" s="35">
        <f>+TANF!E42*TANF!V42</f>
        <v>38974.20586034724</v>
      </c>
      <c r="Q42" s="35">
        <f>+Nutrition!AH42</f>
        <v>52432.388402521734</v>
      </c>
      <c r="R42" s="41">
        <v>0</v>
      </c>
      <c r="S42" s="35">
        <f>+(+'Tax Credits'!O42*'Low Income Pop'!G42)+('Tax Credits'!P42*'Pop Data'!Z42)</f>
        <v>67145.896879034728</v>
      </c>
      <c r="T42" s="35">
        <f t="shared" si="1"/>
        <v>324524.04364009795</v>
      </c>
    </row>
    <row r="43" spans="1:20" x14ac:dyDescent="0.2">
      <c r="A43" s="41" t="s">
        <v>20</v>
      </c>
      <c r="B43" s="41">
        <v>0</v>
      </c>
      <c r="C43" s="41">
        <v>0</v>
      </c>
      <c r="D43" s="35">
        <f>+'Head Start'!I43+'Early Intervention'!B44</f>
        <v>15243.391781455621</v>
      </c>
      <c r="E43" s="35">
        <f>+Medicaid!J43*'Low Income Pop'!G43</f>
        <v>270569.01752920344</v>
      </c>
      <c r="F43" s="35">
        <f>+CHIP!E43*'Low Income Pop'!G43</f>
        <v>26993.627512456791</v>
      </c>
      <c r="G43" s="35">
        <f>+'Mental Health'!H43*'Pop Data'!Z43</f>
        <v>11376.079620684326</v>
      </c>
      <c r="H43" s="35">
        <f>+Immunizations!E43*'Pop Data'!Z43</f>
        <v>9036.5727682248707</v>
      </c>
      <c r="I43" s="35">
        <f>+MCHBG!I43*'Pop Data'!Z43</f>
        <v>2955.6182228536509</v>
      </c>
      <c r="J43" s="35">
        <f>+'Title IV-E'!T43</f>
        <v>8768.041746715553</v>
      </c>
      <c r="K43" s="35">
        <f>+'CW - State and Local Share'!D43*'Pop Data'!Z43</f>
        <v>14428.106568897036</v>
      </c>
      <c r="L43" s="35">
        <f>+'Child Care &amp; Dev Fd'!G43*'Child Care &amp; Dev Fd'!T43</f>
        <v>33815.06</v>
      </c>
      <c r="M43" s="35">
        <f>+'Title IV-B'!F43</f>
        <v>2037.8272305149164</v>
      </c>
      <c r="N43" s="35">
        <f>+'Title IV-D'!E43*'Pop Data'!Z43</f>
        <v>15947.992789489765</v>
      </c>
      <c r="O43" s="35">
        <f>+'Title XX'!D43*0.001</f>
        <v>2948.915781098694</v>
      </c>
      <c r="P43" s="35">
        <f>+TANF!E43*TANF!V43</f>
        <v>38432.876196399229</v>
      </c>
      <c r="Q43" s="35">
        <f>+Nutrition!AH43</f>
        <v>249627.61622930609</v>
      </c>
      <c r="R43" s="41">
        <v>0</v>
      </c>
      <c r="S43" s="35">
        <f>+(+'Tax Credits'!O43*'Low Income Pop'!G43)+('Tax Credits'!P43*'Pop Data'!Z43)</f>
        <v>425401.33068231598</v>
      </c>
      <c r="T43" s="35">
        <f t="shared" si="1"/>
        <v>1127582.0746596158</v>
      </c>
    </row>
    <row r="44" spans="1:20" x14ac:dyDescent="0.2">
      <c r="A44" s="41" t="s">
        <v>21</v>
      </c>
      <c r="B44" s="41">
        <v>0</v>
      </c>
      <c r="C44" s="41">
        <v>0</v>
      </c>
      <c r="D44" s="35">
        <f>+'Head Start'!I44+'Early Intervention'!B45</f>
        <v>20226.729696463135</v>
      </c>
      <c r="E44" s="35">
        <f>+Medicaid!J44*'Low Income Pop'!G44</f>
        <v>61281.62482493875</v>
      </c>
      <c r="F44" s="35">
        <f>+CHIP!E44*'Low Income Pop'!G44</f>
        <v>6792.089201988224</v>
      </c>
      <c r="G44" s="35">
        <f>+'Mental Health'!H44*'Pop Data'!Z44</f>
        <v>3484.2788658269969</v>
      </c>
      <c r="H44" s="35">
        <f>+Immunizations!E44*'Pop Data'!Z44</f>
        <v>2057.9822535840408</v>
      </c>
      <c r="I44" s="35">
        <f>+MCHBG!I44*'Pop Data'!Z44</f>
        <v>554.69344983812425</v>
      </c>
      <c r="J44" s="35">
        <f>+'Title IV-E'!T44</f>
        <v>1797.3523958681287</v>
      </c>
      <c r="K44" s="35">
        <f>+'CW - State and Local Share'!D44*'Pop Data'!Z44</f>
        <v>4751.1834999436742</v>
      </c>
      <c r="L44" s="35">
        <f>+'Child Care &amp; Dev Fd'!G44*'Child Care &amp; Dev Fd'!T44</f>
        <v>4636.9799999999996</v>
      </c>
      <c r="M44" s="35">
        <f>+'Title IV-B'!F44</f>
        <v>222.15913468128855</v>
      </c>
      <c r="N44" s="35">
        <f>+'Title IV-D'!E44*'Pop Data'!Z44</f>
        <v>2360.6282050654117</v>
      </c>
      <c r="O44" s="35">
        <f>+'Title XX'!D44*0.001</f>
        <v>1000.823818697908</v>
      </c>
      <c r="P44" s="35">
        <f>+TANF!E44*TANF!V44</f>
        <v>4948.0769318049188</v>
      </c>
      <c r="Q44" s="35">
        <f>+Nutrition!AH44</f>
        <v>37079.006000005858</v>
      </c>
      <c r="R44" s="41">
        <v>0</v>
      </c>
      <c r="S44" s="35">
        <f>+(+'Tax Credits'!O44*'Low Income Pop'!G44)+('Tax Credits'!P44*'Pop Data'!Z44)</f>
        <v>64533.044410137925</v>
      </c>
      <c r="T44" s="35">
        <f t="shared" si="1"/>
        <v>215726.65268884439</v>
      </c>
    </row>
    <row r="45" spans="1:20" x14ac:dyDescent="0.2">
      <c r="A45" s="41" t="s">
        <v>22</v>
      </c>
      <c r="B45" s="41">
        <v>0</v>
      </c>
      <c r="C45" s="41">
        <v>0</v>
      </c>
      <c r="D45" s="35">
        <f>+'Head Start'!I45+'Early Intervention'!B46</f>
        <v>89358.152404649823</v>
      </c>
      <c r="E45" s="35">
        <f>+Medicaid!J45*'Low Income Pop'!G45</f>
        <v>557275.37706718559</v>
      </c>
      <c r="F45" s="35">
        <f>+CHIP!E45*'Low Income Pop'!G45</f>
        <v>54533.00521160716</v>
      </c>
      <c r="G45" s="35">
        <f>+'Mental Health'!H45*'Pop Data'!Z45</f>
        <v>29520.084426763584</v>
      </c>
      <c r="H45" s="35">
        <f>+Immunizations!E45*'Pop Data'!Z45</f>
        <v>13243.421209518505</v>
      </c>
      <c r="I45" s="35">
        <f>+MCHBG!I45*'Pop Data'!Z45</f>
        <v>4037.8300368403011</v>
      </c>
      <c r="J45" s="35">
        <f>+'Title IV-E'!T45</f>
        <v>17917.695805688829</v>
      </c>
      <c r="K45" s="35">
        <f>+'CW - State and Local Share'!D45*'Pop Data'!Z45</f>
        <v>40511.086146333102</v>
      </c>
      <c r="L45" s="35">
        <f>+'Child Care &amp; Dev Fd'!G45*'Child Care &amp; Dev Fd'!T45</f>
        <v>61982.080000000002</v>
      </c>
      <c r="M45" s="35">
        <f>+'Title IV-B'!F45</f>
        <v>3371.934486179432</v>
      </c>
      <c r="N45" s="35">
        <f>+'Title IV-D'!E45*'Pop Data'!Z45</f>
        <v>23608.387165867032</v>
      </c>
      <c r="O45" s="35">
        <f>+'Title XX'!D45*0.001</f>
        <v>4827.0681221220193</v>
      </c>
      <c r="P45" s="35">
        <f>+TANF!E45*TANF!V45</f>
        <v>82628.011048205648</v>
      </c>
      <c r="Q45" s="35">
        <f>+Nutrition!AH45</f>
        <v>365743.77208159637</v>
      </c>
      <c r="R45" s="41">
        <v>0</v>
      </c>
      <c r="S45" s="35">
        <f>+(+'Tax Credits'!O45*'Low Income Pop'!G45)+('Tax Credits'!P45*'Pop Data'!Z45)</f>
        <v>550398.3288287326</v>
      </c>
      <c r="T45" s="35">
        <f t="shared" si="1"/>
        <v>1898956.2340412899</v>
      </c>
    </row>
    <row r="46" spans="1:20" x14ac:dyDescent="0.2">
      <c r="A46" s="41" t="s">
        <v>23</v>
      </c>
      <c r="B46" s="41">
        <v>0</v>
      </c>
      <c r="C46" s="41">
        <v>0</v>
      </c>
      <c r="D46" s="35">
        <f>+'Head Start'!I46+'Early Intervention'!B47</f>
        <v>105685.80603768061</v>
      </c>
      <c r="E46" s="35">
        <f>+Medicaid!J46*'Low Income Pop'!G46</f>
        <v>2617486.3822520366</v>
      </c>
      <c r="F46" s="35">
        <f>+CHIP!E46*'Low Income Pop'!G46</f>
        <v>265978.1736552674</v>
      </c>
      <c r="G46" s="35">
        <f>+'Mental Health'!H46*'Pop Data'!Z46</f>
        <v>20632.475938490628</v>
      </c>
      <c r="H46" s="35">
        <f>+Immunizations!E46*'Pop Data'!Z46</f>
        <v>68505.689558284939</v>
      </c>
      <c r="I46" s="35">
        <f>+MCHBG!I46*'Pop Data'!Z46</f>
        <v>13006.684256894465</v>
      </c>
      <c r="J46" s="35">
        <f>+'Title IV-E'!T46</f>
        <v>84076.73105957752</v>
      </c>
      <c r="K46" s="35">
        <f>+'CW - State and Local Share'!D46*'Pop Data'!Z46</f>
        <v>101292.76953761853</v>
      </c>
      <c r="L46" s="35">
        <f>+'Child Care &amp; Dev Fd'!G46*'Child Care &amp; Dev Fd'!T46</f>
        <v>189738.91</v>
      </c>
      <c r="M46" s="35">
        <f>+'Title IV-B'!F46</f>
        <v>9356.0322525485026</v>
      </c>
      <c r="N46" s="35">
        <f>+'Title IV-D'!E46*'Pop Data'!Z46</f>
        <v>89530.667879631335</v>
      </c>
      <c r="O46" s="35">
        <f>+'Title XX'!D46*0.001</f>
        <v>7525.7596872568784</v>
      </c>
      <c r="P46" s="35">
        <f>+TANF!E46*TANF!V46</f>
        <v>183743.8334150365</v>
      </c>
      <c r="Q46" s="35">
        <f>+Nutrition!AH46</f>
        <v>1189495.7273886153</v>
      </c>
      <c r="R46" s="41">
        <v>0</v>
      </c>
      <c r="S46" s="35">
        <f>+(+'Tax Credits'!O46*'Low Income Pop'!G46)+('Tax Credits'!P46*'Pop Data'!Z46)</f>
        <v>2492187.5452734074</v>
      </c>
      <c r="T46" s="35">
        <f t="shared" si="1"/>
        <v>7438243.1881923461</v>
      </c>
    </row>
    <row r="47" spans="1:20" x14ac:dyDescent="0.2">
      <c r="A47" s="41" t="s">
        <v>24</v>
      </c>
      <c r="B47" s="41">
        <v>0</v>
      </c>
      <c r="C47" s="41">
        <v>0</v>
      </c>
      <c r="D47" s="35">
        <f>+'Head Start'!I47+'Early Intervention'!B48</f>
        <v>13776.436765247268</v>
      </c>
      <c r="E47" s="35">
        <f>+Medicaid!J47*'Low Income Pop'!G47</f>
        <v>146060.76105285471</v>
      </c>
      <c r="F47" s="35">
        <f>+CHIP!E47*'Low Income Pop'!G47</f>
        <v>16955.208975088088</v>
      </c>
      <c r="G47" s="35">
        <f>+'Mental Health'!H47*'Pop Data'!Z47</f>
        <v>9608.5684478523162</v>
      </c>
      <c r="H47" s="35">
        <f>+Immunizations!E47*'Pop Data'!Z47</f>
        <v>4936.8741344591954</v>
      </c>
      <c r="I47" s="35">
        <f>+MCHBG!I47*'Pop Data'!Z47</f>
        <v>2952.1082744681144</v>
      </c>
      <c r="J47" s="35">
        <f>+'Title IV-E'!T47</f>
        <v>5287.382554278739</v>
      </c>
      <c r="K47" s="35">
        <f>+'CW - State and Local Share'!D47*'Pop Data'!Z47</f>
        <v>14567.028786943732</v>
      </c>
      <c r="L47" s="35">
        <f>+'Child Care &amp; Dev Fd'!G47*'Child Care &amp; Dev Fd'!T47</f>
        <v>15105.599999999999</v>
      </c>
      <c r="M47" s="35">
        <f>+'Title IV-B'!F47</f>
        <v>790.52058290776199</v>
      </c>
      <c r="N47" s="35">
        <f>+'Title IV-D'!E47*'Pop Data'!Z47</f>
        <v>9847.7867793128626</v>
      </c>
      <c r="O47" s="35">
        <f>+'Title XX'!D47*0.001</f>
        <v>2433.2742311957627</v>
      </c>
      <c r="P47" s="35">
        <f>+TANF!E47*TANF!V47</f>
        <v>19130.43690221108</v>
      </c>
      <c r="Q47" s="35">
        <f>+Nutrition!AH47</f>
        <v>86986.646921462234</v>
      </c>
      <c r="R47" s="41">
        <v>0</v>
      </c>
      <c r="S47" s="35">
        <f>+(+'Tax Credits'!O47*'Low Income Pop'!G47)+('Tax Credits'!P47*'Pop Data'!Z47)</f>
        <v>234615.89214470604</v>
      </c>
      <c r="T47" s="35">
        <f t="shared" si="1"/>
        <v>583054.52655298787</v>
      </c>
    </row>
    <row r="48" spans="1:20" x14ac:dyDescent="0.2">
      <c r="A48" s="41" t="s">
        <v>25</v>
      </c>
      <c r="B48" s="41">
        <v>0</v>
      </c>
      <c r="C48" s="41">
        <v>0</v>
      </c>
      <c r="D48" s="35">
        <f>+'Head Start'!I48+'Early Intervention'!B49</f>
        <v>31975.650144260602</v>
      </c>
      <c r="E48" s="35">
        <f>+Medicaid!J48*'Low Income Pop'!G48</f>
        <v>89467.239121526974</v>
      </c>
      <c r="F48" s="35">
        <f>+CHIP!E48*'Low Income Pop'!G48</f>
        <v>1978.687829691032</v>
      </c>
      <c r="G48" s="35">
        <f>+'Mental Health'!H48*'Pop Data'!Z48</f>
        <v>10916.593017019883</v>
      </c>
      <c r="H48" s="35">
        <f>+Immunizations!E48*'Pop Data'!Z48</f>
        <v>1282.0412877669401</v>
      </c>
      <c r="I48" s="35">
        <f>+MCHBG!I48*'Pop Data'!Z48</f>
        <v>471.60827806955973</v>
      </c>
      <c r="J48" s="35">
        <f>+'Title IV-E'!T48</f>
        <v>3788.1079242603928</v>
      </c>
      <c r="K48" s="35">
        <f>+'CW - State and Local Share'!D48*'Pop Data'!Z48</f>
        <v>5306.441739074312</v>
      </c>
      <c r="L48" s="35">
        <f>+'Child Care &amp; Dev Fd'!G48*'Child Care &amp; Dev Fd'!T48</f>
        <v>7291.2000000000007</v>
      </c>
      <c r="M48" s="35">
        <f>+'Title IV-B'!F48</f>
        <v>174.82736903287866</v>
      </c>
      <c r="N48" s="35">
        <f>+'Title IV-D'!E48*'Pop Data'!Z48</f>
        <v>3355.4846269896975</v>
      </c>
      <c r="O48" s="35">
        <f>+'Title XX'!D48*0.001</f>
        <v>1247.5260188668417</v>
      </c>
      <c r="P48" s="35">
        <f>+TANF!E48*TANF!V48</f>
        <v>17393.146252022572</v>
      </c>
      <c r="Q48" s="35">
        <f>+Nutrition!AH48</f>
        <v>27840.644897604427</v>
      </c>
      <c r="R48" s="41">
        <v>0</v>
      </c>
      <c r="S48" s="35">
        <f>+(+'Tax Credits'!O48*'Low Income Pop'!G48)+('Tax Credits'!P48*'Pop Data'!Z48)</f>
        <v>37667.398766910141</v>
      </c>
      <c r="T48" s="35">
        <f t="shared" si="1"/>
        <v>240156.59727309621</v>
      </c>
    </row>
    <row r="49" spans="1:20" x14ac:dyDescent="0.2">
      <c r="A49" s="41" t="s">
        <v>26</v>
      </c>
      <c r="B49" s="41">
        <v>0</v>
      </c>
      <c r="C49" s="41">
        <v>0</v>
      </c>
      <c r="D49" s="35">
        <f>+'Head Start'!I49+'Early Intervention'!B50</f>
        <v>70190.849666266164</v>
      </c>
      <c r="E49" s="35">
        <f>+Medicaid!J49*'Low Income Pop'!G49</f>
        <v>438968.90017928346</v>
      </c>
      <c r="F49" s="35">
        <f>+CHIP!E49*'Low Income Pop'!G49</f>
        <v>62226.912760655214</v>
      </c>
      <c r="G49" s="35">
        <f>+'Mental Health'!H49*'Pop Data'!Z49</f>
        <v>20819.557175325877</v>
      </c>
      <c r="H49" s="35">
        <f>+Immunizations!E49*'Pop Data'!Z49</f>
        <v>11304.536485545881</v>
      </c>
      <c r="I49" s="35">
        <f>+MCHBG!I49*'Pop Data'!Z49</f>
        <v>3286.2602379787768</v>
      </c>
      <c r="J49" s="35">
        <f>+'Title IV-E'!T49</f>
        <v>15352.415455992958</v>
      </c>
      <c r="K49" s="35">
        <f>+'CW - State and Local Share'!D49*'Pop Data'!Z49</f>
        <v>81044.767055861987</v>
      </c>
      <c r="L49" s="35">
        <f>+'Child Care &amp; Dev Fd'!G49*'Child Care &amp; Dev Fd'!T49</f>
        <v>51313.470000000008</v>
      </c>
      <c r="M49" s="35">
        <f>+'Title IV-B'!F49</f>
        <v>2731.6527263520316</v>
      </c>
      <c r="N49" s="35">
        <f>+'Title IV-D'!E49*'Pop Data'!Z49</f>
        <v>26495.779744788844</v>
      </c>
      <c r="O49" s="35">
        <f>+'Title XX'!D49*0.001</f>
        <v>7492.5775216008797</v>
      </c>
      <c r="P49" s="35">
        <f>+TANF!E49*TANF!V49</f>
        <v>64314.859273963768</v>
      </c>
      <c r="Q49" s="35">
        <f>+Nutrition!AH49</f>
        <v>318546.01099912857</v>
      </c>
      <c r="R49" s="41">
        <v>0</v>
      </c>
      <c r="S49" s="35">
        <f>+(+'Tax Credits'!O49*'Low Income Pop'!G49)+('Tax Credits'!P49*'Pop Data'!Z49)</f>
        <v>602302.88049697247</v>
      </c>
      <c r="T49" s="35">
        <f t="shared" si="1"/>
        <v>1776391.429779717</v>
      </c>
    </row>
    <row r="50" spans="1:20" x14ac:dyDescent="0.2">
      <c r="A50" s="41" t="s">
        <v>27</v>
      </c>
      <c r="B50" s="41">
        <v>0</v>
      </c>
      <c r="C50" s="41">
        <v>0</v>
      </c>
      <c r="D50" s="35">
        <f>+'Head Start'!I50+'Early Intervention'!B51</f>
        <v>41646.412109321907</v>
      </c>
      <c r="E50" s="35">
        <f>+Medicaid!J50*'Low Income Pop'!G50</f>
        <v>487382.39030330715</v>
      </c>
      <c r="F50" s="35">
        <f>+CHIP!E50*'Low Income Pop'!G50</f>
        <v>15908.071250371295</v>
      </c>
      <c r="G50" s="35">
        <f>+'Mental Health'!H50*'Pop Data'!Z50</f>
        <v>26956.759503394434</v>
      </c>
      <c r="H50" s="35">
        <f>+Immunizations!E50*'Pop Data'!Z50</f>
        <v>18771.222225892401</v>
      </c>
      <c r="I50" s="35">
        <f>+MCHBG!I50*'Pop Data'!Z50</f>
        <v>2654.6720042082898</v>
      </c>
      <c r="J50" s="35">
        <f>+'Title IV-E'!T50</f>
        <v>38194.214831563695</v>
      </c>
      <c r="K50" s="35">
        <f>+'CW - State and Local Share'!D50*'Pop Data'!Z50</f>
        <v>45990.492527604678</v>
      </c>
      <c r="L50" s="35">
        <f>+'Child Care &amp; Dev Fd'!G50*'Child Care &amp; Dev Fd'!T50</f>
        <v>67153.5</v>
      </c>
      <c r="M50" s="35">
        <f>+'Title IV-B'!F50</f>
        <v>2071.0148182459689</v>
      </c>
      <c r="N50" s="35">
        <f>+'Title IV-D'!E50*'Pop Data'!Z50</f>
        <v>38306.692765212152</v>
      </c>
      <c r="O50" s="35">
        <f>+'Title XX'!D50*0.001</f>
        <v>10216.434623812176</v>
      </c>
      <c r="P50" s="35">
        <f>+TANF!E50*TANF!V50</f>
        <v>266385.86083230836</v>
      </c>
      <c r="Q50" s="35">
        <f>+Nutrition!AH50</f>
        <v>302072.98796077317</v>
      </c>
      <c r="R50" s="41">
        <v>0</v>
      </c>
      <c r="S50" s="35">
        <f>+(+'Tax Credits'!O50*'Low Income Pop'!G50)+('Tax Credits'!P50*'Pop Data'!Z50)</f>
        <v>416504.04032599367</v>
      </c>
      <c r="T50" s="35">
        <f t="shared" si="1"/>
        <v>1780214.7660820093</v>
      </c>
    </row>
    <row r="51" spans="1:20" x14ac:dyDescent="0.2">
      <c r="A51" s="41" t="s">
        <v>28</v>
      </c>
      <c r="B51" s="41">
        <v>0</v>
      </c>
      <c r="C51" s="41">
        <v>0</v>
      </c>
      <c r="D51" s="35">
        <f>+'Head Start'!I51+'Early Intervention'!B52</f>
        <v>6928.2525889349054</v>
      </c>
      <c r="E51" s="35">
        <f>+Medicaid!J51*'Low Income Pop'!G51</f>
        <v>144780.53049616949</v>
      </c>
      <c r="F51" s="35">
        <f>+CHIP!E51*'Low Income Pop'!G51</f>
        <v>12888.133058360481</v>
      </c>
      <c r="G51" s="35">
        <f>+'Mental Health'!H51*'Pop Data'!Z51</f>
        <v>903.1854817014156</v>
      </c>
      <c r="H51" s="35">
        <f>+Immunizations!E51*'Pop Data'!Z51</f>
        <v>3445.4770717032816</v>
      </c>
      <c r="I51" s="35">
        <f>+MCHBG!I51*'Pop Data'!Z51</f>
        <v>2544.8694794930748</v>
      </c>
      <c r="J51" s="35">
        <f>+'Title IV-E'!T51</f>
        <v>8770.7006937436381</v>
      </c>
      <c r="K51" s="35">
        <f>+'CW - State and Local Share'!D51*'Pop Data'!Z51</f>
        <v>21947.903489471173</v>
      </c>
      <c r="L51" s="35">
        <f>+'Child Care &amp; Dev Fd'!G51*'Child Care &amp; Dev Fd'!T51</f>
        <v>12311.080000000002</v>
      </c>
      <c r="M51" s="35">
        <f>+'Title IV-B'!F51</f>
        <v>771.05594419064983</v>
      </c>
      <c r="N51" s="35">
        <f>+'Title IV-D'!E51*'Pop Data'!Z51</f>
        <v>11294.979166286932</v>
      </c>
      <c r="O51" s="35">
        <f>+'Title XX'!D51*0.001</f>
        <v>3673.3535033878652</v>
      </c>
      <c r="P51" s="35">
        <f>+TANF!E51*TANF!V51</f>
        <v>30501.255580944398</v>
      </c>
      <c r="Q51" s="35">
        <f>+Nutrition!AH51</f>
        <v>88219.034791953673</v>
      </c>
      <c r="R51" s="41">
        <v>0</v>
      </c>
      <c r="S51" s="35">
        <f>+(+'Tax Credits'!O51*'Low Income Pop'!G51)+('Tax Credits'!P51*'Pop Data'!Z51)</f>
        <v>121467.35310255247</v>
      </c>
      <c r="T51" s="35">
        <f t="shared" si="1"/>
        <v>470447.16444889351</v>
      </c>
    </row>
    <row r="52" spans="1:20" x14ac:dyDescent="0.2">
      <c r="A52" s="41" t="s">
        <v>29</v>
      </c>
      <c r="B52" s="41">
        <v>0</v>
      </c>
      <c r="C52" s="41">
        <v>0</v>
      </c>
      <c r="D52" s="35">
        <f>+'Head Start'!I52+'Early Intervention'!B53</f>
        <v>17661.054810042777</v>
      </c>
      <c r="E52" s="35">
        <f>+Medicaid!J52*'Low Income Pop'!G52</f>
        <v>258905.95265625135</v>
      </c>
      <c r="F52" s="35">
        <f>+CHIP!E52*'Low Income Pop'!G52</f>
        <v>30004.496796360563</v>
      </c>
      <c r="G52" s="35">
        <f>+'Mental Health'!H52*'Pop Data'!Z52</f>
        <v>3266.8428225214325</v>
      </c>
      <c r="H52" s="35">
        <f>+Immunizations!E52*'Pop Data'!Z52</f>
        <v>8710.7366857069555</v>
      </c>
      <c r="I52" s="35">
        <f>+MCHBG!I52*'Pop Data'!Z52</f>
        <v>2877.842565460166</v>
      </c>
      <c r="J52" s="35">
        <f>+'Title IV-E'!T52</f>
        <v>22519.628508736245</v>
      </c>
      <c r="K52" s="35">
        <f>+'CW - State and Local Share'!D52*'Pop Data'!Z52</f>
        <v>45351.454312792535</v>
      </c>
      <c r="L52" s="35">
        <f>+'Child Care &amp; Dev Fd'!G52*'Child Care &amp; Dev Fd'!T52</f>
        <v>59018.11</v>
      </c>
      <c r="M52" s="35">
        <f>+'Title IV-B'!F52</f>
        <v>1592.8741188279578</v>
      </c>
      <c r="N52" s="35">
        <f>+'Title IV-D'!E52*'Pop Data'!Z52</f>
        <v>26675.395341529817</v>
      </c>
      <c r="O52" s="35">
        <f>+'Title XX'!D52*0.001</f>
        <v>5668.5261305624972</v>
      </c>
      <c r="P52" s="35">
        <f>+TANF!E52*TANF!V52</f>
        <v>120335.99698069025</v>
      </c>
      <c r="Q52" s="35">
        <f>+Nutrition!AH52</f>
        <v>215007.54779418543</v>
      </c>
      <c r="R52" s="41">
        <v>0</v>
      </c>
      <c r="S52" s="35">
        <f>+(+'Tax Credits'!O52*'Low Income Pop'!G52)+('Tax Credits'!P52*'Pop Data'!Z52)</f>
        <v>375396.54615725332</v>
      </c>
      <c r="T52" s="35">
        <f t="shared" si="1"/>
        <v>1192993.0056809215</v>
      </c>
    </row>
    <row r="53" spans="1:20" x14ac:dyDescent="0.2">
      <c r="A53" s="41" t="s">
        <v>30</v>
      </c>
      <c r="B53" s="41">
        <v>0</v>
      </c>
      <c r="C53" s="41">
        <v>0</v>
      </c>
      <c r="D53" s="35">
        <f>+'Head Start'!I53+'Early Intervention'!B54</f>
        <v>2966.5418361378206</v>
      </c>
      <c r="E53" s="35">
        <f>+Medicaid!J53*'Low Income Pop'!G53</f>
        <v>30854.187377307964</v>
      </c>
      <c r="F53" s="35">
        <f>+CHIP!E53*'Low Income Pop'!G53</f>
        <v>3520.6625244284496</v>
      </c>
      <c r="G53" s="35">
        <f>+'Mental Health'!H53*'Pop Data'!Z53</f>
        <v>247.56499929430927</v>
      </c>
      <c r="H53" s="35">
        <f>+Immunizations!E53*'Pop Data'!Z53</f>
        <v>1251.5442428961546</v>
      </c>
      <c r="I53" s="35">
        <f>+MCHBG!I53*'Pop Data'!Z53</f>
        <v>455.11121529264148</v>
      </c>
      <c r="J53" s="35">
        <f>+'Title IV-E'!T53</f>
        <v>579.85302944866783</v>
      </c>
      <c r="K53" s="35">
        <f>+'CW - State and Local Share'!D53*'Pop Data'!Z53</f>
        <v>4422.7591777990992</v>
      </c>
      <c r="L53" s="35">
        <f>+'Child Care &amp; Dev Fd'!G53*'Child Care &amp; Dev Fd'!T53</f>
        <v>6303.68</v>
      </c>
      <c r="M53" s="35">
        <f>+'Title IV-B'!F53</f>
        <v>0</v>
      </c>
      <c r="N53" s="35">
        <f>+'Title IV-D'!E53*'Pop Data'!Z53</f>
        <v>2695.8101631116688</v>
      </c>
      <c r="O53" s="35">
        <f>+'Title XX'!D53*0.001</f>
        <v>939.57653271115134</v>
      </c>
      <c r="P53" s="35">
        <f>+TANF!E53*TANF!V53</f>
        <v>4923.7553218501798</v>
      </c>
      <c r="Q53" s="35">
        <f>+Nutrition!AH53</f>
        <v>12381.694866667143</v>
      </c>
      <c r="R53" s="41">
        <v>0</v>
      </c>
      <c r="S53" s="35">
        <f>+(+'Tax Credits'!O53*'Low Income Pop'!G53)+('Tax Credits'!P53*'Pop Data'!Z53)</f>
        <v>36583.67608287988</v>
      </c>
      <c r="T53" s="35">
        <f t="shared" si="1"/>
        <v>108126.41736982513</v>
      </c>
    </row>
    <row r="54" spans="1:20" ht="16" thickBot="1" x14ac:dyDescent="0.25"/>
    <row r="55" spans="1:20" ht="17" thickTop="1" thickBot="1" x14ac:dyDescent="0.25">
      <c r="A55" s="38" t="s">
        <v>39</v>
      </c>
      <c r="B55" s="80">
        <f>SUM(B4:B54)</f>
        <v>0</v>
      </c>
      <c r="C55" s="81">
        <f>SUM(C4:C54)</f>
        <v>0</v>
      </c>
      <c r="D55" s="81">
        <f t="shared" ref="D55:T55" si="2">SUM(D4:D54)</f>
        <v>3649454.7171923635</v>
      </c>
      <c r="E55" s="81">
        <f t="shared" si="2"/>
        <v>22776237.351612043</v>
      </c>
      <c r="F55" s="81">
        <f t="shared" si="2"/>
        <v>2616316.8244122127</v>
      </c>
      <c r="G55" s="81">
        <f t="shared" si="2"/>
        <v>1735941.0115243185</v>
      </c>
      <c r="H55" s="81">
        <f t="shared" si="2"/>
        <v>642451.6226726803</v>
      </c>
      <c r="I55" s="81">
        <f t="shared" si="2"/>
        <v>413066.12341582921</v>
      </c>
      <c r="J55" s="81">
        <f t="shared" si="2"/>
        <v>1417729.6229206121</v>
      </c>
      <c r="K55" s="81">
        <f t="shared" si="2"/>
        <v>2434551.6759820725</v>
      </c>
      <c r="L55" s="81">
        <f t="shared" si="2"/>
        <v>2571314.9400000013</v>
      </c>
      <c r="M55" s="81">
        <f t="shared" si="2"/>
        <v>110526.46785813253</v>
      </c>
      <c r="N55" s="81">
        <f t="shared" si="2"/>
        <v>1524722.6482861298</v>
      </c>
      <c r="O55" s="81">
        <f t="shared" si="2"/>
        <v>436451.33432418481</v>
      </c>
      <c r="P55" s="81">
        <f t="shared" si="2"/>
        <v>6286856.4615743086</v>
      </c>
      <c r="Q55" s="81">
        <f t="shared" si="2"/>
        <v>13985392.215096952</v>
      </c>
      <c r="R55" s="81">
        <f t="shared" si="2"/>
        <v>0</v>
      </c>
      <c r="S55" s="81">
        <f t="shared" si="2"/>
        <v>24289832.458934709</v>
      </c>
      <c r="T55" s="82">
        <f t="shared" si="2"/>
        <v>84890845.475806564</v>
      </c>
    </row>
    <row r="56" spans="1:20" ht="16" thickTop="1" x14ac:dyDescent="0.2"/>
  </sheetData>
  <sortState ref="A4:W53">
    <sortCondition ref="A4:A53"/>
  </sortState>
  <printOptions horizontalCentered="1" verticalCentered="1"/>
  <pageMargins left="0.7" right="0.7" top="0.75" bottom="0.75" header="0.3" footer="0.3"/>
  <pageSetup paperSize="5" scale="55" orientation="landscape"/>
  <headerFooter>
    <oddHeader>&amp;C&amp;"-,Bold"&amp;18Public Spending for Children and their Families -- Ages 0 to 2</oddHeader>
    <oddFooter>&amp;L&amp;D</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
  <sheetViews>
    <sheetView workbookViewId="0"/>
  </sheetViews>
  <sheetFormatPr baseColWidth="10" defaultColWidth="8.83203125" defaultRowHeight="15" x14ac:dyDescent="0.2"/>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tabColor rgb="FF00B050"/>
    <pageSetUpPr fitToPage="1"/>
  </sheetPr>
  <dimension ref="A1:T56"/>
  <sheetViews>
    <sheetView workbookViewId="0">
      <selection activeCell="Q58" sqref="Q58"/>
    </sheetView>
  </sheetViews>
  <sheetFormatPr baseColWidth="10" defaultColWidth="8.83203125" defaultRowHeight="15" x14ac:dyDescent="0.2"/>
  <cols>
    <col min="1" max="1" width="18.33203125" customWidth="1"/>
    <col min="2" max="20" width="12.6640625" customWidth="1"/>
    <col min="21" max="21" width="7.1640625" customWidth="1"/>
  </cols>
  <sheetData>
    <row r="1" spans="1:20" s="11" customFormat="1" ht="120" customHeight="1" thickBot="1" x14ac:dyDescent="0.25">
      <c r="A1" s="115"/>
      <c r="B1" s="116" t="str">
        <f>+Summary!B1</f>
        <v>K-12 Educ</v>
      </c>
      <c r="C1" s="116" t="str">
        <f>+Summary!C1</f>
        <v>Preschool</v>
      </c>
      <c r="D1" s="116" t="str">
        <f>+Summary!D1</f>
        <v>Head Start &amp; Early Intervention</v>
      </c>
      <c r="E1" s="116" t="str">
        <f>+Summary!E1</f>
        <v>Medicaid (including costs of disabled children)</v>
      </c>
      <c r="F1" s="116" t="str">
        <f>+Summary!F1</f>
        <v>CHIP</v>
      </c>
      <c r="G1" s="116" t="str">
        <f>+Summary!G1</f>
        <v>Mental Health Programs</v>
      </c>
      <c r="H1" s="116" t="str">
        <f>+Summary!H1</f>
        <v>Immun-izations</v>
      </c>
      <c r="I1" s="116" t="str">
        <f>+Summary!I1</f>
        <v>Maternal &amp; Child Health Block Grant</v>
      </c>
      <c r="J1" s="116" t="str">
        <f>+Summary!J1</f>
        <v>Foster Care, Adoption Assistance, Guardianship (Title IV-E)</v>
      </c>
      <c r="K1" s="116" t="str">
        <f>+Summary!K1</f>
        <v xml:space="preserve">Child Welfare State and Local Share </v>
      </c>
      <c r="L1" s="116" t="str">
        <f>+Summary!L1</f>
        <v>Child Care &amp; Dev Fund</v>
      </c>
      <c r="M1" s="116" t="str">
        <f>+Summary!M1</f>
        <v>Child Welfare Services &amp; Promoting Safe and Stable Families           Title IV-B</v>
      </c>
      <c r="N1" s="116" t="str">
        <f>+Summary!N1</f>
        <v>Child Support Enforcement    Title IV-D</v>
      </c>
      <c r="O1" s="116" t="str">
        <f>+Summary!O1</f>
        <v>Child Welfare - TITLE XX</v>
      </c>
      <c r="P1" s="116" t="str">
        <f>+Summary!P1</f>
        <v>TANF</v>
      </c>
      <c r="Q1" s="116" t="str">
        <f>+Summary!Q1</f>
        <v>Nutrition (SNAP, WIC, CACFP)</v>
      </c>
      <c r="R1" s="116" t="str">
        <f>+Summary!R1</f>
        <v>Juvenile Justice</v>
      </c>
      <c r="S1" s="116" t="str">
        <f>+Summary!S1</f>
        <v>Tax Credits</v>
      </c>
      <c r="T1" s="116" t="str">
        <f>+Summary!T1</f>
        <v>Total</v>
      </c>
    </row>
    <row r="2" spans="1:20" x14ac:dyDescent="0.2">
      <c r="A2" s="1" t="s">
        <v>258</v>
      </c>
    </row>
    <row r="3" spans="1:20" x14ac:dyDescent="0.2">
      <c r="A3" s="24">
        <v>2012</v>
      </c>
    </row>
    <row r="4" spans="1:20" x14ac:dyDescent="0.2">
      <c r="A4" s="41" t="s">
        <v>109</v>
      </c>
      <c r="B4" s="41">
        <v>0</v>
      </c>
      <c r="C4" s="41">
        <v>0</v>
      </c>
      <c r="D4" s="35">
        <f>+'Head Start'!I4+'Early Intervention'!B5</f>
        <v>21467.919074062971</v>
      </c>
      <c r="E4" s="35">
        <f>+Medicaid!J4*'Low Income Pop'!G4</f>
        <v>285320.93316818192</v>
      </c>
      <c r="F4" s="35">
        <f>+CHIP!E4*'Low Income Pop'!G4</f>
        <v>37177.766660724534</v>
      </c>
      <c r="G4" s="35">
        <f>+'Mental Health'!H4*'Pop Data'!Z4</f>
        <v>10364.812487603205</v>
      </c>
      <c r="H4" s="35">
        <f>+Immunizations!E4*'Pop Data'!Z4</f>
        <v>10490.314542825279</v>
      </c>
      <c r="I4" s="35">
        <f>+MCHBG!I4*'Pop Data'!Z4+Prenatal!I4</f>
        <v>6162.771249699842</v>
      </c>
      <c r="J4" s="35">
        <f>+'Title IV-E'!T4</f>
        <v>8941.1594175911559</v>
      </c>
      <c r="K4" s="35">
        <f>+'CW - State and Local Share'!D4*'Pop Data'!Z4</f>
        <v>22679.900000533617</v>
      </c>
      <c r="L4" s="35">
        <f>+'Child Care &amp; Dev Fd'!G4*'Child Care &amp; Dev Fd'!T4</f>
        <v>31112.699999999997</v>
      </c>
      <c r="M4" s="35">
        <f>+'Title IV-B'!F4</f>
        <v>2200.7292994327672</v>
      </c>
      <c r="N4" s="35">
        <f>+'Title IV-D'!E4*'Pop Data'!Z4</f>
        <v>18276.064348642751</v>
      </c>
      <c r="O4" s="35">
        <f>+'Title XX'!D4*0.001</f>
        <v>3173.5909259969844</v>
      </c>
      <c r="P4" s="35">
        <f>+TANF!E4*TANF!V4</f>
        <v>42193.459605193253</v>
      </c>
      <c r="Q4" s="35">
        <f>+Nutrition!AH4+Prenatal!Q4</f>
        <v>297282.68608144042</v>
      </c>
      <c r="R4" s="41">
        <v>0</v>
      </c>
      <c r="S4" s="35">
        <f>+(+'Tax Credits'!O4*'Low Income Pop'!G4)+('Tax Credits'!P4*'Pop Data'!Z4)</f>
        <v>418473.90502075187</v>
      </c>
      <c r="T4" s="35">
        <f t="shared" ref="T4:T53" si="0">SUM(B4:S4)</f>
        <v>1215318.7118826807</v>
      </c>
    </row>
    <row r="5" spans="1:20" x14ac:dyDescent="0.2">
      <c r="A5" s="41" t="s">
        <v>110</v>
      </c>
      <c r="B5" s="41">
        <v>0</v>
      </c>
      <c r="C5" s="41">
        <v>0</v>
      </c>
      <c r="D5" s="35">
        <f>+'Head Start'!I5+'Early Intervention'!B6</f>
        <v>2912.1501302460201</v>
      </c>
      <c r="E5" s="35">
        <f>+Medicaid!J5*'Low Income Pop'!G5</f>
        <v>110601.82532213912</v>
      </c>
      <c r="F5" s="35">
        <f>+CHIP!E5*'Low Income Pop'!G5</f>
        <v>7454.4170196942932</v>
      </c>
      <c r="G5" s="35">
        <f>+'Mental Health'!H5*'Pop Data'!Z5</f>
        <v>18757.548735039807</v>
      </c>
      <c r="H5" s="35">
        <f>+Immunizations!E5*'Pop Data'!Z5</f>
        <v>2853.3477219668625</v>
      </c>
      <c r="I5" s="35">
        <f>+MCHBG!I5*'Pop Data'!Z5+Prenatal!I5</f>
        <v>3324.7073428113308</v>
      </c>
      <c r="J5" s="35">
        <f>+'Title IV-E'!T5</f>
        <v>6663.3601373597003</v>
      </c>
      <c r="K5" s="35">
        <f>+'CW - State and Local Share'!D5*'Pop Data'!Z5</f>
        <v>18679.235467664348</v>
      </c>
      <c r="L5" s="35">
        <f>+'Child Care &amp; Dev Fd'!G5*'Child Care &amp; Dev Fd'!T5</f>
        <v>9104.39</v>
      </c>
      <c r="M5" s="35">
        <f>+'Title IV-B'!F5</f>
        <v>187.96752538749331</v>
      </c>
      <c r="N5" s="35">
        <f>+'Title IV-D'!E5*'Pop Data'!Z5</f>
        <v>8417.856654195617</v>
      </c>
      <c r="O5" s="35">
        <f>+'Title XX'!D5*0.001</f>
        <v>6226.6618860452709</v>
      </c>
      <c r="P5" s="35">
        <f>+TANF!E5*TANF!V5</f>
        <v>17623.37332358455</v>
      </c>
      <c r="Q5" s="35">
        <f>+Nutrition!AH5+Prenatal!Q5</f>
        <v>51422.512349913799</v>
      </c>
      <c r="R5" s="41">
        <v>0</v>
      </c>
      <c r="S5" s="35">
        <f>+(+'Tax Credits'!O5*'Low Income Pop'!G5)+('Tax Credits'!P5*'Pop Data'!Z5)</f>
        <v>49009.252957253018</v>
      </c>
      <c r="T5" s="35">
        <f t="shared" si="0"/>
        <v>313238.60657330125</v>
      </c>
    </row>
    <row r="6" spans="1:20" x14ac:dyDescent="0.2">
      <c r="A6" s="41" t="s">
        <v>111</v>
      </c>
      <c r="B6" s="41">
        <v>0</v>
      </c>
      <c r="C6" s="41">
        <v>0</v>
      </c>
      <c r="D6" s="35">
        <f>+'Head Start'!I6+'Early Intervention'!B7</f>
        <v>22341.139304254641</v>
      </c>
      <c r="E6" s="35">
        <f>+Medicaid!J6*'Low Income Pop'!G6</f>
        <v>397860.73569291295</v>
      </c>
      <c r="F6" s="35">
        <f>+CHIP!E6*'Low Income Pop'!G6</f>
        <v>6770.8243564216182</v>
      </c>
      <c r="G6" s="35">
        <f>+'Mental Health'!H6*'Pop Data'!Z6</f>
        <v>68698.429632042564</v>
      </c>
      <c r="H6" s="35">
        <f>+Immunizations!E6*'Pop Data'!Z6</f>
        <v>14789.453722830734</v>
      </c>
      <c r="I6" s="35">
        <f>+MCHBG!I6*'Pop Data'!Z6+Prenatal!I6</f>
        <v>2426.632766426429</v>
      </c>
      <c r="J6" s="35">
        <f>+'Title IV-E'!T6</f>
        <v>48365.509988191698</v>
      </c>
      <c r="K6" s="35">
        <f>+'CW - State and Local Share'!D6*'Pop Data'!Z6</f>
        <v>27934.765191308008</v>
      </c>
      <c r="L6" s="35">
        <f>+'Child Care &amp; Dev Fd'!G6*'Child Care &amp; Dev Fd'!T6</f>
        <v>66615.45</v>
      </c>
      <c r="M6" s="35">
        <f>+'Title IV-B'!F6</f>
        <v>3017.3371672570815</v>
      </c>
      <c r="N6" s="35">
        <f>+'Title IV-D'!E6*'Pop Data'!Z6</f>
        <v>16913.928498717374</v>
      </c>
      <c r="O6" s="35">
        <f>+'Title XX'!D6*0.001</f>
        <v>10842.505678993106</v>
      </c>
      <c r="P6" s="35">
        <f>+TANF!E6*TANF!V6</f>
        <v>66806.718563660732</v>
      </c>
      <c r="Q6" s="35">
        <f>+Nutrition!AH6+Prenatal!Q6</f>
        <v>328267.30625523056</v>
      </c>
      <c r="R6" s="41">
        <v>0</v>
      </c>
      <c r="S6" s="35">
        <f>+(+'Tax Credits'!O6*'Low Income Pop'!G6)+('Tax Credits'!P6*'Pop Data'!Z6)</f>
        <v>515559.76685291913</v>
      </c>
      <c r="T6" s="35">
        <f t="shared" si="0"/>
        <v>1597210.5036711665</v>
      </c>
    </row>
    <row r="7" spans="1:20" x14ac:dyDescent="0.2">
      <c r="A7" s="41" t="s">
        <v>112</v>
      </c>
      <c r="B7" s="41">
        <v>0</v>
      </c>
      <c r="C7" s="41">
        <v>0</v>
      </c>
      <c r="D7" s="35">
        <f>+'Head Start'!I7+'Early Intervention'!B8</f>
        <v>941994.48631640233</v>
      </c>
      <c r="E7" s="35">
        <f>+Medicaid!J7*'Low Income Pop'!G7</f>
        <v>258353.72203839917</v>
      </c>
      <c r="F7" s="35">
        <f>+CHIP!E7*'Low Income Pop'!G7</f>
        <v>26527.735908065068</v>
      </c>
      <c r="G7" s="35">
        <f>+'Mental Health'!H7*'Pop Data'!Z7</f>
        <v>2648.1303788418763</v>
      </c>
      <c r="H7" s="35">
        <f>+Immunizations!E7*'Pop Data'!Z7</f>
        <v>7244.1088410549737</v>
      </c>
      <c r="I7" s="35">
        <f>+MCHBG!I7*'Pop Data'!Z7+Prenatal!I7</f>
        <v>2744.1111117050532</v>
      </c>
      <c r="J7" s="35">
        <f>+'Title IV-E'!T7</f>
        <v>14408.752850966621</v>
      </c>
      <c r="K7" s="35">
        <f>+'CW - State and Local Share'!D7*'Pop Data'!Z7</f>
        <v>9970.5439996286314</v>
      </c>
      <c r="L7" s="35">
        <f>+'Child Care &amp; Dev Fd'!G7*'Child Care &amp; Dev Fd'!T7</f>
        <v>14663.25</v>
      </c>
      <c r="M7" s="35">
        <f>+'Title IV-B'!F7</f>
        <v>1541.4760169451711</v>
      </c>
      <c r="N7" s="35">
        <f>+'Title IV-D'!E7*'Pop Data'!Z7</f>
        <v>13557.844215839221</v>
      </c>
      <c r="O7" s="35">
        <f>+'Title XX'!D7*0.001</f>
        <v>1442.1734821420257</v>
      </c>
      <c r="P7" s="35">
        <f>+TANF!E7*TANF!V7</f>
        <v>43313.970377831458</v>
      </c>
      <c r="Q7" s="35">
        <f>+Nutrition!AH7+Prenatal!Q7</f>
        <v>184447.08554957603</v>
      </c>
      <c r="R7" s="41">
        <v>0</v>
      </c>
      <c r="S7" s="35">
        <f>+(+'Tax Credits'!O7*'Low Income Pop'!G7)+('Tax Credits'!P7*'Pop Data'!Z7)</f>
        <v>255572.32073225785</v>
      </c>
      <c r="T7" s="35">
        <f t="shared" si="0"/>
        <v>1778429.711819655</v>
      </c>
    </row>
    <row r="8" spans="1:20" x14ac:dyDescent="0.2">
      <c r="A8" s="41" t="s">
        <v>113</v>
      </c>
      <c r="B8" s="41">
        <v>0</v>
      </c>
      <c r="C8" s="41">
        <v>0</v>
      </c>
      <c r="D8" s="35">
        <f>+'Head Start'!I8+'Early Intervention'!B9</f>
        <v>189960.40541966286</v>
      </c>
      <c r="E8" s="35">
        <f>+Medicaid!J8*'Low Income Pop'!G8</f>
        <v>2698129.5119476779</v>
      </c>
      <c r="F8" s="35">
        <f>+CHIP!E8*'Low Income Pop'!G8</f>
        <v>404261.52764355345</v>
      </c>
      <c r="G8" s="35">
        <f>+'Mental Health'!H8*'Pop Data'!Z8</f>
        <v>369904.97859405808</v>
      </c>
      <c r="H8" s="35">
        <f>+Immunizations!E8*'Pop Data'!Z8</f>
        <v>95379.247402157678</v>
      </c>
      <c r="I8" s="35">
        <f>+MCHBG!I8*'Pop Data'!Z8+Prenatal!I8</f>
        <v>381982.00179048057</v>
      </c>
      <c r="J8" s="35">
        <f>+'Title IV-E'!T8</f>
        <v>317406.03109894448</v>
      </c>
      <c r="K8" s="35">
        <f>+'CW - State and Local Share'!D8*'Pop Data'!Z8</f>
        <v>296996.97004616453</v>
      </c>
      <c r="L8" s="35">
        <f>+'Child Care &amp; Dev Fd'!G8*'Child Care &amp; Dev Fd'!T8</f>
        <v>384654.15</v>
      </c>
      <c r="M8" s="35">
        <f>+'Title IV-B'!F8</f>
        <v>11924.553007365303</v>
      </c>
      <c r="N8" s="35">
        <f>+'Title IV-D'!E8*'Pop Data'!Z8</f>
        <v>258136.72536256988</v>
      </c>
      <c r="O8" s="35">
        <f>+'Title XX'!D8*0.001</f>
        <v>116983.17451489675</v>
      </c>
      <c r="P8" s="35">
        <f>+TANF!E8*TANF!V8</f>
        <v>1239408.2043595607</v>
      </c>
      <c r="Q8" s="35">
        <f>+Nutrition!AH8+Prenatal!Q8</f>
        <v>2103009.1924807187</v>
      </c>
      <c r="R8" s="41">
        <v>0</v>
      </c>
      <c r="S8" s="35">
        <f>+(+'Tax Credits'!O8*'Low Income Pop'!G8)+('Tax Credits'!P8*'Pop Data'!Z8)</f>
        <v>2746931.0917072375</v>
      </c>
      <c r="T8" s="35">
        <f t="shared" si="0"/>
        <v>11615067.76537505</v>
      </c>
    </row>
    <row r="9" spans="1:20" x14ac:dyDescent="0.2">
      <c r="A9" s="41" t="s">
        <v>115</v>
      </c>
      <c r="B9" s="41">
        <v>0</v>
      </c>
      <c r="C9" s="41">
        <v>0</v>
      </c>
      <c r="D9" s="35">
        <f>+'Head Start'!I9+'Early Intervention'!B10</f>
        <v>57052.926478637331</v>
      </c>
      <c r="E9" s="35">
        <f>+Medicaid!J9*'Low Income Pop'!G9</f>
        <v>277792.03299604199</v>
      </c>
      <c r="F9" s="35">
        <f>+CHIP!E9*'Low Income Pop'!G9</f>
        <v>41303.031512672613</v>
      </c>
      <c r="G9" s="35">
        <f>+'Mental Health'!H9*'Pop Data'!Z9</f>
        <v>23138.061725347136</v>
      </c>
      <c r="H9" s="35">
        <f>+Immunizations!E9*'Pop Data'!Z9</f>
        <v>8432.8784208483648</v>
      </c>
      <c r="I9" s="35">
        <f>+MCHBG!I9*'Pop Data'!Z9+Prenatal!I9</f>
        <v>2422.9851952129275</v>
      </c>
      <c r="J9" s="35">
        <f>+'Title IV-E'!T9</f>
        <v>16184.606317303336</v>
      </c>
      <c r="K9" s="35">
        <f>+'CW - State and Local Share'!D9*'Pop Data'!Z9</f>
        <v>44019.138516986932</v>
      </c>
      <c r="L9" s="35">
        <f>+'Child Care &amp; Dev Fd'!G9*'Child Care &amp; Dev Fd'!T9</f>
        <v>19094.04</v>
      </c>
      <c r="M9" s="35">
        <f>+'Title IV-B'!F9</f>
        <v>1179.0528401163592</v>
      </c>
      <c r="N9" s="35">
        <f>+'Title IV-D'!E9*'Pop Data'!Z9</f>
        <v>21193.18889551211</v>
      </c>
      <c r="O9" s="35">
        <f>+'Title XX'!D9*0.001</f>
        <v>3556.5469500000004</v>
      </c>
      <c r="P9" s="35">
        <f>+TANF!E9*TANF!V9</f>
        <v>66487.957457418568</v>
      </c>
      <c r="Q9" s="35">
        <f>+Nutrition!AH9+Prenatal!Q9</f>
        <v>184808.40460665189</v>
      </c>
      <c r="R9" s="41">
        <v>0</v>
      </c>
      <c r="S9" s="35">
        <f>+(+'Tax Credits'!O9*'Low Income Pop'!G9)+('Tax Credits'!P9*'Pop Data'!Z9)</f>
        <v>325358.61558866105</v>
      </c>
      <c r="T9" s="35">
        <f t="shared" si="0"/>
        <v>1092023.4675014105</v>
      </c>
    </row>
    <row r="10" spans="1:20" x14ac:dyDescent="0.2">
      <c r="A10" s="41" t="s">
        <v>114</v>
      </c>
      <c r="B10" s="41">
        <v>0</v>
      </c>
      <c r="C10" s="41">
        <v>0</v>
      </c>
      <c r="D10" s="35">
        <f>+'Head Start'!I10+'Early Intervention'!B11</f>
        <v>12602.377219195259</v>
      </c>
      <c r="E10" s="35">
        <f>+Medicaid!J10*'Low Income Pop'!G10</f>
        <v>266801.95383332513</v>
      </c>
      <c r="F10" s="35">
        <f>+CHIP!E10*'Low Income Pop'!G10</f>
        <v>5105.7530505417408</v>
      </c>
      <c r="G10" s="35">
        <f>+'Mental Health'!H10*'Pop Data'!Z10</f>
        <v>0</v>
      </c>
      <c r="H10" s="35">
        <f>+Immunizations!E10*'Pop Data'!Z10</f>
        <v>5636.3721072864255</v>
      </c>
      <c r="I10" s="35">
        <f>+MCHBG!I10*'Pop Data'!Z10+Prenatal!I10</f>
        <v>1687.9365227809435</v>
      </c>
      <c r="J10" s="35">
        <f>+'Title IV-E'!T10</f>
        <v>23740.004199093197</v>
      </c>
      <c r="K10" s="35">
        <f>+'CW - State and Local Share'!D10*'Pop Data'!Z10</f>
        <v>48075.311717606026</v>
      </c>
      <c r="L10" s="35">
        <f>+'Child Care &amp; Dev Fd'!G10*'Child Care &amp; Dev Fd'!T10</f>
        <v>35416.5</v>
      </c>
      <c r="M10" s="35">
        <f>+'Title IV-B'!F10</f>
        <v>682.00921259441657</v>
      </c>
      <c r="N10" s="35">
        <f>+'Title IV-D'!E10*'Pop Data'!Z10</f>
        <v>16794.319924945627</v>
      </c>
      <c r="O10" s="35">
        <f>+'Title XX'!D10*0.001</f>
        <v>7006.9406856859769</v>
      </c>
      <c r="P10" s="35">
        <f>+TANF!E10*TANF!V10</f>
        <v>122088.30550351001</v>
      </c>
      <c r="Q10" s="35">
        <f>+Nutrition!AH10+Prenatal!Q10</f>
        <v>156185.69394955746</v>
      </c>
      <c r="R10" s="41">
        <v>0</v>
      </c>
      <c r="S10" s="35">
        <f>+(+'Tax Credits'!O10*'Low Income Pop'!G10)+('Tax Credits'!P10*'Pop Data'!Z10)</f>
        <v>186594.73800914129</v>
      </c>
      <c r="T10" s="35">
        <f t="shared" si="0"/>
        <v>888418.21593526355</v>
      </c>
    </row>
    <row r="11" spans="1:20" x14ac:dyDescent="0.2">
      <c r="A11" s="41" t="s">
        <v>42</v>
      </c>
      <c r="B11" s="41">
        <v>0</v>
      </c>
      <c r="C11" s="41">
        <v>0</v>
      </c>
      <c r="D11" s="35">
        <f>+'Head Start'!I11+'Early Intervention'!B12</f>
        <v>42859.242271739131</v>
      </c>
      <c r="E11" s="35">
        <f>+Medicaid!J11*'Low Income Pop'!G11</f>
        <v>81912.219894572656</v>
      </c>
      <c r="F11" s="35">
        <f>+CHIP!E11*'Low Income Pop'!G11</f>
        <v>5206.4545298605426</v>
      </c>
      <c r="G11" s="35">
        <f>+'Mental Health'!H11*'Pop Data'!Z11</f>
        <v>0</v>
      </c>
      <c r="H11" s="35">
        <f>+Immunizations!E11*'Pop Data'!Z11</f>
        <v>1987.8647828041944</v>
      </c>
      <c r="I11" s="35">
        <f>+MCHBG!I11*'Pop Data'!Z11+Prenatal!I11</f>
        <v>3093.885834908559</v>
      </c>
      <c r="J11" s="35">
        <f>+'Title IV-E'!T11</f>
        <v>1372.9686381370395</v>
      </c>
      <c r="K11" s="35">
        <f>+'CW - State and Local Share'!D11*'Pop Data'!Z11</f>
        <v>7981.133313825896</v>
      </c>
      <c r="L11" s="35">
        <f>+'Child Care &amp; Dev Fd'!G11*'Child Care &amp; Dev Fd'!T11</f>
        <v>7493.63</v>
      </c>
      <c r="M11" s="35">
        <f>+'Title IV-B'!F11</f>
        <v>338.17896830041451</v>
      </c>
      <c r="N11" s="35">
        <f>+'Title IV-D'!E11*'Pop Data'!Z11</f>
        <v>13080.990465740064</v>
      </c>
      <c r="O11" s="35">
        <f>+'Title XX'!D11*0.001</f>
        <v>1033.8008595887395</v>
      </c>
      <c r="P11" s="35">
        <f>+TANF!E11*TANF!V11</f>
        <v>22490.349618498909</v>
      </c>
      <c r="Q11" s="35">
        <f>+Nutrition!AH11+Prenatal!Q11</f>
        <v>49010.793976914218</v>
      </c>
      <c r="R11" s="41">
        <v>0</v>
      </c>
      <c r="S11" s="35">
        <f>+(+'Tax Credits'!O11*'Low Income Pop'!G11)+('Tax Credits'!P11*'Pop Data'!Z11)</f>
        <v>68392.869404437442</v>
      </c>
      <c r="T11" s="35">
        <f t="shared" si="0"/>
        <v>306254.38255932782</v>
      </c>
    </row>
    <row r="12" spans="1:20" x14ac:dyDescent="0.2">
      <c r="A12" s="41" t="s">
        <v>116</v>
      </c>
      <c r="B12" s="41">
        <v>0</v>
      </c>
      <c r="C12" s="41">
        <v>0</v>
      </c>
      <c r="D12" s="35">
        <f>+'Head Start'!I12+'Early Intervention'!B13</f>
        <v>82748.450849753164</v>
      </c>
      <c r="E12" s="35">
        <f>+Medicaid!J12*'Low Income Pop'!G12</f>
        <v>914332.09990315768</v>
      </c>
      <c r="F12" s="35">
        <f>+CHIP!E12*'Low Income Pop'!G12</f>
        <v>107667.12846023505</v>
      </c>
      <c r="G12" s="35">
        <f>+'Mental Health'!H12*'Pop Data'!Z12</f>
        <v>14517.189055537247</v>
      </c>
      <c r="H12" s="35">
        <f>+Immunizations!E12*'Pop Data'!Z12</f>
        <v>35043.376448960647</v>
      </c>
      <c r="I12" s="35">
        <f>+MCHBG!I12*'Pop Data'!Z12+Prenatal!I12</f>
        <v>66891.482727077208</v>
      </c>
      <c r="J12" s="35">
        <f>+'Title IV-E'!T12</f>
        <v>50792.499201595012</v>
      </c>
      <c r="K12" s="35">
        <f>+'CW - State and Local Share'!D12*'Pop Data'!Z12</f>
        <v>80774.386333473245</v>
      </c>
      <c r="L12" s="35">
        <f>+'Child Care &amp; Dev Fd'!G12*'Child Care &amp; Dev Fd'!T12</f>
        <v>134923.95000000001</v>
      </c>
      <c r="M12" s="35">
        <f>+'Title IV-B'!F12</f>
        <v>6142.3105825510775</v>
      </c>
      <c r="N12" s="35">
        <f>+'Title IV-D'!E12*'Pop Data'!Z12</f>
        <v>72995.349851092324</v>
      </c>
      <c r="O12" s="35">
        <f>+'Title XX'!D12*0.001</f>
        <v>33856.390719726849</v>
      </c>
      <c r="P12" s="35">
        <f>+TANF!E12*TANF!V12</f>
        <v>156718.99987791857</v>
      </c>
      <c r="Q12" s="35">
        <f>+Nutrition!AH12+Prenatal!Q12</f>
        <v>1064184.1287705537</v>
      </c>
      <c r="R12" s="41">
        <v>0</v>
      </c>
      <c r="S12" s="35">
        <f>+(+'Tax Credits'!O12*'Low Income Pop'!G12)+('Tax Credits'!P12*'Pop Data'!Z12)</f>
        <v>1618544.3152665598</v>
      </c>
      <c r="T12" s="35">
        <f t="shared" si="0"/>
        <v>4440132.0580481915</v>
      </c>
    </row>
    <row r="13" spans="1:20" x14ac:dyDescent="0.2">
      <c r="A13" s="41" t="s">
        <v>117</v>
      </c>
      <c r="B13" s="41">
        <v>0</v>
      </c>
      <c r="C13" s="41">
        <v>0</v>
      </c>
      <c r="D13" s="35">
        <f>+'Head Start'!I13+'Early Intervention'!B14</f>
        <v>40839.85705930613</v>
      </c>
      <c r="E13" s="35">
        <f>+Medicaid!J13*'Low Income Pop'!G13</f>
        <v>659189.99485241016</v>
      </c>
      <c r="F13" s="35">
        <f>+CHIP!E13*'Low Income Pop'!G13</f>
        <v>80751.580523478755</v>
      </c>
      <c r="G13" s="35">
        <f>+'Mental Health'!H13*'Pop Data'!Z13</f>
        <v>16874.821689674212</v>
      </c>
      <c r="H13" s="35">
        <f>+Immunizations!E13*'Pop Data'!Z13</f>
        <v>24190.524007474323</v>
      </c>
      <c r="I13" s="35">
        <f>+MCHBG!I13*'Pop Data'!Z13+Prenatal!I13</f>
        <v>47767.881012108221</v>
      </c>
      <c r="J13" s="35">
        <f>+'Title IV-E'!T13</f>
        <v>27239.550097183877</v>
      </c>
      <c r="K13" s="35">
        <f>+'CW - State and Local Share'!D13*'Pop Data'!Z13</f>
        <v>32451.851450027607</v>
      </c>
      <c r="L13" s="35">
        <f>+'Child Care &amp; Dev Fd'!G13*'Child Care &amp; Dev Fd'!T13</f>
        <v>49977.48</v>
      </c>
      <c r="M13" s="35">
        <f>+'Title IV-B'!F13</f>
        <v>4449.5558778889217</v>
      </c>
      <c r="N13" s="35">
        <f>+'Title IV-D'!E13*'Pop Data'!Z13</f>
        <v>28045.674725565983</v>
      </c>
      <c r="O13" s="35">
        <f>+'Title XX'!D13*0.001</f>
        <v>2702.7318409956229</v>
      </c>
      <c r="P13" s="35">
        <f>+TANF!E13*TANF!V13</f>
        <v>89917.361098477035</v>
      </c>
      <c r="Q13" s="35">
        <f>+Nutrition!AH13+Prenatal!Q13</f>
        <v>746977.2981059025</v>
      </c>
      <c r="R13" s="41">
        <v>0</v>
      </c>
      <c r="S13" s="35">
        <f>+(+'Tax Credits'!O13*'Low Income Pop'!G13)+('Tax Credits'!P13*'Pop Data'!Z13)</f>
        <v>1003542.3137805647</v>
      </c>
      <c r="T13" s="35">
        <f t="shared" si="0"/>
        <v>2854918.4761210582</v>
      </c>
    </row>
    <row r="14" spans="1:20" x14ac:dyDescent="0.2">
      <c r="A14" s="41" t="s">
        <v>118</v>
      </c>
      <c r="B14" s="41">
        <v>0</v>
      </c>
      <c r="C14" s="41">
        <v>0</v>
      </c>
      <c r="D14" s="35">
        <f>+'Head Start'!I14+'Early Intervention'!B15</f>
        <v>7348.9486317443689</v>
      </c>
      <c r="E14" s="35">
        <f>+Medicaid!J14*'Low Income Pop'!G14</f>
        <v>73232.643158201157</v>
      </c>
      <c r="F14" s="35">
        <f>+CHIP!E14*'Low Income Pop'!G14</f>
        <v>10493.641420467975</v>
      </c>
      <c r="G14" s="35">
        <f>+'Mental Health'!H14*'Pop Data'!Z14</f>
        <v>5883.1012781050777</v>
      </c>
      <c r="H14" s="35">
        <f>+Immunizations!E14*'Pop Data'!Z14</f>
        <v>3146.1464131269163</v>
      </c>
      <c r="I14" s="35">
        <f>+MCHBG!I14*'Pop Data'!Z14+Prenatal!I14</f>
        <v>6573.4668540218008</v>
      </c>
      <c r="J14" s="35">
        <f>+'Title IV-E'!T14</f>
        <v>0</v>
      </c>
      <c r="K14" s="35">
        <f>+'CW - State and Local Share'!D14*'Pop Data'!Z14</f>
        <v>0</v>
      </c>
      <c r="L14" s="35">
        <f>+'Child Care &amp; Dev Fd'!G14*'Child Care &amp; Dev Fd'!T14</f>
        <v>14903.68</v>
      </c>
      <c r="M14" s="35">
        <f>+'Title IV-B'!F14</f>
        <v>384.39553585928638</v>
      </c>
      <c r="N14" s="35">
        <f>+'Title IV-D'!E14*'Pop Data'!Z14</f>
        <v>5830.3591882802939</v>
      </c>
      <c r="O14" s="35">
        <f>+'Title XX'!D14*0.001</f>
        <v>3927.8087075700096</v>
      </c>
      <c r="P14" s="35">
        <f>+TANF!E14*TANF!V14</f>
        <v>63343.051466773555</v>
      </c>
      <c r="Q14" s="35">
        <f>+Nutrition!AH14+Prenatal!Q14</f>
        <v>96456.288265542797</v>
      </c>
      <c r="R14" s="41">
        <v>0</v>
      </c>
      <c r="S14" s="35">
        <f>+(+'Tax Credits'!O14*'Low Income Pop'!G14)+('Tax Credits'!P14*'Pop Data'!Z14)</f>
        <v>110971.50119488972</v>
      </c>
      <c r="T14" s="35">
        <f t="shared" si="0"/>
        <v>402495.03211458295</v>
      </c>
    </row>
    <row r="15" spans="1:20" x14ac:dyDescent="0.2">
      <c r="A15" s="41" t="s">
        <v>119</v>
      </c>
      <c r="B15" s="41">
        <v>0</v>
      </c>
      <c r="C15" s="41">
        <v>0</v>
      </c>
      <c r="D15" s="35">
        <f>+'Head Start'!I15+'Early Intervention'!B16</f>
        <v>98888.839475863468</v>
      </c>
      <c r="E15" s="35">
        <f>+Medicaid!J15*'Low Income Pop'!G15</f>
        <v>95444.500525171403</v>
      </c>
      <c r="F15" s="35">
        <f>+CHIP!E15*'Low Income Pop'!G15</f>
        <v>10134.336132260238</v>
      </c>
      <c r="G15" s="35">
        <f>+'Mental Health'!H15*'Pop Data'!Z15</f>
        <v>1817.9301578350319</v>
      </c>
      <c r="H15" s="35">
        <f>+Immunizations!E15*'Pop Data'!Z15</f>
        <v>3856.2880949476553</v>
      </c>
      <c r="I15" s="35">
        <f>+MCHBG!I15*'Pop Data'!Z15+Prenatal!I15</f>
        <v>848.01420385988786</v>
      </c>
      <c r="J15" s="35">
        <f>+'Title IV-E'!T15</f>
        <v>3520.1429527583118</v>
      </c>
      <c r="K15" s="35">
        <f>+'CW - State and Local Share'!D15*'Pop Data'!Z15</f>
        <v>2935.3605868981099</v>
      </c>
      <c r="L15" s="35">
        <f>+'Child Care &amp; Dev Fd'!G15*'Child Care &amp; Dev Fd'!T15</f>
        <v>6477.4400000000005</v>
      </c>
      <c r="M15" s="35">
        <f>+'Title IV-B'!F15</f>
        <v>519.42397100420521</v>
      </c>
      <c r="N15" s="35">
        <f>+'Title IV-D'!E15*'Pop Data'!Z15</f>
        <v>6284.6409047139578</v>
      </c>
      <c r="O15" s="35">
        <f>+'Title XX'!D15*0.001</f>
        <v>2363.0640107542285</v>
      </c>
      <c r="P15" s="35">
        <f>+TANF!E15*TANF!V15</f>
        <v>4161.0910082726923</v>
      </c>
      <c r="Q15" s="35">
        <f>+Nutrition!AH15+Prenatal!Q15</f>
        <v>78613.768233912531</v>
      </c>
      <c r="R15" s="41">
        <v>0</v>
      </c>
      <c r="S15" s="35">
        <f>+(+'Tax Credits'!O15*'Low Income Pop'!G15)+('Tax Credits'!P15*'Pop Data'!Z15)</f>
        <v>127297.09032596932</v>
      </c>
      <c r="T15" s="35">
        <f t="shared" si="0"/>
        <v>443161.93058422109</v>
      </c>
    </row>
    <row r="16" spans="1:20" x14ac:dyDescent="0.2">
      <c r="A16" s="41" t="s">
        <v>120</v>
      </c>
      <c r="B16" s="41">
        <v>0</v>
      </c>
      <c r="C16" s="41">
        <v>0</v>
      </c>
      <c r="D16" s="35">
        <f>+'Head Start'!I16+'Early Intervention'!B17</f>
        <v>69592.978653687809</v>
      </c>
      <c r="E16" s="35">
        <f>+Medicaid!J16*'Low Income Pop'!G16</f>
        <v>847282.14192660141</v>
      </c>
      <c r="F16" s="35">
        <f>+CHIP!E16*'Low Income Pop'!G16</f>
        <v>87382.53368748723</v>
      </c>
      <c r="G16" s="35">
        <f>+'Mental Health'!H16*'Pop Data'!Z16</f>
        <v>37991.924998489943</v>
      </c>
      <c r="H16" s="35">
        <f>+Immunizations!E16*'Pop Data'!Z16</f>
        <v>25237.898202250934</v>
      </c>
      <c r="I16" s="35">
        <f>+MCHBG!I16*'Pop Data'!Z16+Prenatal!I16</f>
        <v>9954.8366980237042</v>
      </c>
      <c r="J16" s="35">
        <f>+'Title IV-E'!T16</f>
        <v>51183.37920838983</v>
      </c>
      <c r="K16" s="35">
        <f>+'CW - State and Local Share'!D16*'Pop Data'!Z16</f>
        <v>83098.017868419891</v>
      </c>
      <c r="L16" s="35">
        <f>+'Child Care &amp; Dev Fd'!G16*'Child Care &amp; Dev Fd'!T16</f>
        <v>84085.5</v>
      </c>
      <c r="M16" s="35">
        <f>+'Title IV-B'!F16</f>
        <v>4955.8726122161988</v>
      </c>
      <c r="N16" s="35">
        <f>+'Title IV-D'!E16*'Pop Data'!Z16</f>
        <v>53374.972893851795</v>
      </c>
      <c r="O16" s="35">
        <f>+'Title XX'!D16*0.001</f>
        <v>3067.1098381011097</v>
      </c>
      <c r="P16" s="35">
        <f>+TANF!E16*TANF!V16</f>
        <v>220869.56263337092</v>
      </c>
      <c r="Q16" s="35">
        <f>+Nutrition!AH16+Prenatal!Q16</f>
        <v>645085.3654006396</v>
      </c>
      <c r="R16" s="41">
        <v>0</v>
      </c>
      <c r="S16" s="35">
        <f>+(+'Tax Credits'!O16*'Low Income Pop'!G16)+('Tax Credits'!P16*'Pop Data'!Z16)</f>
        <v>933439.23064629128</v>
      </c>
      <c r="T16" s="35">
        <f t="shared" si="0"/>
        <v>3156601.325267822</v>
      </c>
    </row>
    <row r="17" spans="1:20" x14ac:dyDescent="0.2">
      <c r="A17" s="41" t="s">
        <v>121</v>
      </c>
      <c r="B17" s="41">
        <v>0</v>
      </c>
      <c r="C17" s="41">
        <v>0</v>
      </c>
      <c r="D17" s="35">
        <f>+'Head Start'!I17+'Early Intervention'!B18</f>
        <v>25127.507308560678</v>
      </c>
      <c r="E17" s="35">
        <f>+Medicaid!J17*'Low Income Pop'!G17</f>
        <v>442050.5521367077</v>
      </c>
      <c r="F17" s="35">
        <f>+CHIP!E17*'Low Income Pop'!G17</f>
        <v>42233.66150644741</v>
      </c>
      <c r="G17" s="35">
        <f>+'Mental Health'!H17*'Pop Data'!Z17</f>
        <v>17204.560065613256</v>
      </c>
      <c r="H17" s="35">
        <f>+Immunizations!E17*'Pop Data'!Z17</f>
        <v>11947.601071554913</v>
      </c>
      <c r="I17" s="35">
        <f>+MCHBG!I17*'Pop Data'!Z17+Prenatal!I17</f>
        <v>5031.2755874498971</v>
      </c>
      <c r="J17" s="35">
        <f>+'Title IV-E'!T17</f>
        <v>31370.482092963961</v>
      </c>
      <c r="K17" s="35">
        <f>+'CW - State and Local Share'!D17*'Pop Data'!Z17</f>
        <v>65791.629130675472</v>
      </c>
      <c r="L17" s="35">
        <f>+'Child Care &amp; Dev Fd'!G17*'Child Care &amp; Dev Fd'!T17</f>
        <v>45001.32</v>
      </c>
      <c r="M17" s="35">
        <f>+'Title IV-B'!F17</f>
        <v>2245.5124207548761</v>
      </c>
      <c r="N17" s="35">
        <f>+'Title IV-D'!E17*'Pop Data'!Z17</f>
        <v>27099.554855646671</v>
      </c>
      <c r="O17" s="35">
        <f>+'Title XX'!D17*0.001</f>
        <v>3244.1729464636137</v>
      </c>
      <c r="P17" s="35">
        <f>+TANF!E17*TANF!V17</f>
        <v>52095.415659210274</v>
      </c>
      <c r="Q17" s="35">
        <f>+Nutrition!AH17+Prenatal!Q17</f>
        <v>325198.68141403008</v>
      </c>
      <c r="R17" s="41">
        <v>0</v>
      </c>
      <c r="S17" s="35">
        <f>+(+'Tax Credits'!O17*'Low Income Pop'!G17)+('Tax Credits'!P17*'Pop Data'!Z17)</f>
        <v>526433.94450116879</v>
      </c>
      <c r="T17" s="35">
        <f t="shared" si="0"/>
        <v>1622075.8706972476</v>
      </c>
    </row>
    <row r="18" spans="1:20" x14ac:dyDescent="0.2">
      <c r="A18" s="41" t="s">
        <v>122</v>
      </c>
      <c r="B18" s="41">
        <v>0</v>
      </c>
      <c r="C18" s="41">
        <v>0</v>
      </c>
      <c r="D18" s="35">
        <f>+'Head Start'!I18+'Early Intervention'!B19</f>
        <v>34047.805763223143</v>
      </c>
      <c r="E18" s="35">
        <f>+Medicaid!J18*'Low Income Pop'!G18</f>
        <v>187128.11364665249</v>
      </c>
      <c r="F18" s="35">
        <f>+CHIP!E18*'Low Income Pop'!G18</f>
        <v>29112.919481244418</v>
      </c>
      <c r="G18" s="35">
        <f>+'Mental Health'!H18*'Pop Data'!Z18</f>
        <v>25093.493996452591</v>
      </c>
      <c r="H18" s="35">
        <f>+Immunizations!E18*'Pop Data'!Z18</f>
        <v>4886.437053805711</v>
      </c>
      <c r="I18" s="35">
        <f>+MCHBG!I18*'Pop Data'!Z18+Prenatal!I18</f>
        <v>2097.3475267202707</v>
      </c>
      <c r="J18" s="35">
        <f>+'Title IV-E'!T18</f>
        <v>15153.449671926115</v>
      </c>
      <c r="K18" s="35">
        <f>+'CW - State and Local Share'!D18*'Pop Data'!Z18</f>
        <v>22207.647136120882</v>
      </c>
      <c r="L18" s="35">
        <f>+'Child Care &amp; Dev Fd'!G18*'Child Care &amp; Dev Fd'!T18</f>
        <v>23407.160000000003</v>
      </c>
      <c r="M18" s="35">
        <f>+'Title IV-B'!F18</f>
        <v>1018.1892394464203</v>
      </c>
      <c r="N18" s="35">
        <f>+'Title IV-D'!E18*'Pop Data'!Z18</f>
        <v>15043.343619848039</v>
      </c>
      <c r="O18" s="35">
        <f>+'Title XX'!D18*0.001</f>
        <v>6558.2632981609231</v>
      </c>
      <c r="P18" s="35">
        <f>+TANF!E18*TANF!V18</f>
        <v>51336.201292855774</v>
      </c>
      <c r="Q18" s="35">
        <f>+Nutrition!AH18+Prenatal!Q18</f>
        <v>134798.78958323377</v>
      </c>
      <c r="R18" s="41">
        <v>0</v>
      </c>
      <c r="S18" s="35">
        <f>+(+'Tax Credits'!O18*'Low Income Pop'!G18)+('Tax Credits'!P18*'Pop Data'!Z18)</f>
        <v>208137.49846158893</v>
      </c>
      <c r="T18" s="35">
        <f t="shared" si="0"/>
        <v>760026.65977127943</v>
      </c>
    </row>
    <row r="19" spans="1:20" x14ac:dyDescent="0.2">
      <c r="A19" s="41" t="s">
        <v>123</v>
      </c>
      <c r="B19" s="41">
        <v>0</v>
      </c>
      <c r="C19" s="41">
        <v>0</v>
      </c>
      <c r="D19" s="35">
        <f>+'Head Start'!I19+'Early Intervention'!B20</f>
        <v>37197.264670161298</v>
      </c>
      <c r="E19" s="35">
        <f>+Medicaid!J19*'Low Income Pop'!G19</f>
        <v>163830.21539763967</v>
      </c>
      <c r="F19" s="35">
        <f>+CHIP!E19*'Low Income Pop'!G19</f>
        <v>17654.552879742689</v>
      </c>
      <c r="G19" s="35">
        <f>+'Mental Health'!H19*'Pop Data'!Z19</f>
        <v>25921.727625337262</v>
      </c>
      <c r="H19" s="35">
        <f>+Immunizations!E19*'Pop Data'!Z19</f>
        <v>4957.5103619060501</v>
      </c>
      <c r="I19" s="35">
        <f>+MCHBG!I19*'Pop Data'!Z19+Prenatal!I19</f>
        <v>1870.9362330872123</v>
      </c>
      <c r="J19" s="35">
        <f>+'Title IV-E'!T19</f>
        <v>8046.1175089354747</v>
      </c>
      <c r="K19" s="35">
        <f>+'CW - State and Local Share'!D19*'Pop Data'!Z19</f>
        <v>25356.590263204402</v>
      </c>
      <c r="L19" s="35">
        <f>+'Child Care &amp; Dev Fd'!G19*'Child Care &amp; Dev Fd'!T19</f>
        <v>23258.880000000001</v>
      </c>
      <c r="M19" s="35">
        <f>+'Title IV-B'!F19</f>
        <v>853.50822396335639</v>
      </c>
      <c r="N19" s="35">
        <f>+'Title IV-D'!E19*'Pop Data'!Z19</f>
        <v>15736.318228257749</v>
      </c>
      <c r="O19" s="35">
        <f>+'Title XX'!D19*0.001</f>
        <v>3936.3399639999998</v>
      </c>
      <c r="P19" s="35">
        <f>+TANF!E19*TANF!V19</f>
        <v>44762.197438690302</v>
      </c>
      <c r="Q19" s="35">
        <f>+Nutrition!AH19+Prenatal!Q19</f>
        <v>121144.35781602041</v>
      </c>
      <c r="R19" s="41">
        <v>0</v>
      </c>
      <c r="S19" s="35">
        <f>+(+'Tax Credits'!O19*'Low Income Pop'!G19)+('Tax Credits'!P19*'Pop Data'!Z19)</f>
        <v>231350.76816372795</v>
      </c>
      <c r="T19" s="35">
        <f t="shared" si="0"/>
        <v>725877.28477467387</v>
      </c>
    </row>
    <row r="20" spans="1:20" x14ac:dyDescent="0.2">
      <c r="A20" s="41" t="s">
        <v>124</v>
      </c>
      <c r="B20" s="41">
        <v>0</v>
      </c>
      <c r="C20" s="41">
        <v>0</v>
      </c>
      <c r="D20" s="35">
        <f>+'Head Start'!I20+'Early Intervention'!B21</f>
        <v>31787.375672973103</v>
      </c>
      <c r="E20" s="35">
        <f>+Medicaid!J20*'Low Income Pop'!G20</f>
        <v>367240.25714291859</v>
      </c>
      <c r="F20" s="35">
        <f>+CHIP!E20*'Low Income Pop'!G20</f>
        <v>40849.335968485015</v>
      </c>
      <c r="G20" s="35">
        <f>+'Mental Health'!H20*'Pop Data'!Z20</f>
        <v>9321.9028049362551</v>
      </c>
      <c r="H20" s="35">
        <f>+Immunizations!E20*'Pop Data'!Z20</f>
        <v>8288.6790179427608</v>
      </c>
      <c r="I20" s="35">
        <f>+MCHBG!I20*'Pop Data'!Z20+Prenatal!I20</f>
        <v>9036.0084389857784</v>
      </c>
      <c r="J20" s="35">
        <f>+'Title IV-E'!T20</f>
        <v>16849.031784572959</v>
      </c>
      <c r="K20" s="35">
        <f>+'CW - State and Local Share'!D20*'Pop Data'!Z20</f>
        <v>51817.147943800963</v>
      </c>
      <c r="L20" s="35">
        <f>+'Child Care &amp; Dev Fd'!G20*'Child Care &amp; Dev Fd'!T20</f>
        <v>44817.94</v>
      </c>
      <c r="M20" s="35">
        <f>+'Title IV-B'!F20</f>
        <v>2070.5159876185699</v>
      </c>
      <c r="N20" s="35">
        <f>+'Title IV-D'!E20*'Pop Data'!Z20</f>
        <v>18843.404685348614</v>
      </c>
      <c r="O20" s="35">
        <f>+'Title XX'!D20*0.001</f>
        <v>6934.7565029434645</v>
      </c>
      <c r="P20" s="35">
        <f>+TANF!E20*TANF!V20</f>
        <v>60322.53633921584</v>
      </c>
      <c r="Q20" s="35">
        <f>+Nutrition!AH20+Prenatal!Q20</f>
        <v>285517.15466861497</v>
      </c>
      <c r="R20" s="41">
        <v>0</v>
      </c>
      <c r="S20" s="35">
        <f>+(+'Tax Credits'!O20*'Low Income Pop'!G20)+('Tax Credits'!P20*'Pop Data'!Z20)</f>
        <v>349202.13715146168</v>
      </c>
      <c r="T20" s="35">
        <f t="shared" si="0"/>
        <v>1302898.1841098187</v>
      </c>
    </row>
    <row r="21" spans="1:20" x14ac:dyDescent="0.2">
      <c r="A21" s="41" t="s">
        <v>125</v>
      </c>
      <c r="B21" s="41">
        <v>0</v>
      </c>
      <c r="C21" s="41">
        <v>0</v>
      </c>
      <c r="D21" s="35">
        <f>+'Head Start'!I21+'Early Intervention'!B22</f>
        <v>15012.252438037325</v>
      </c>
      <c r="E21" s="35">
        <f>+Medicaid!J21*'Low Income Pop'!G21</f>
        <v>437786.80518908863</v>
      </c>
      <c r="F21" s="35">
        <f>+CHIP!E21*'Low Income Pop'!G21</f>
        <v>48929.418516580714</v>
      </c>
      <c r="G21" s="35">
        <f>+'Mental Health'!H21*'Pop Data'!Z21</f>
        <v>7698.186297321241</v>
      </c>
      <c r="H21" s="35">
        <f>+Immunizations!E21*'Pop Data'!Z21</f>
        <v>12532.326687657844</v>
      </c>
      <c r="I21" s="35">
        <f>+MCHBG!I21*'Pop Data'!Z21+Prenatal!I21</f>
        <v>8836.7478866777055</v>
      </c>
      <c r="J21" s="35">
        <f>+'Title IV-E'!T21</f>
        <v>13969.186735923056</v>
      </c>
      <c r="K21" s="35">
        <f>+'CW - State and Local Share'!D21*'Pop Data'!Z21</f>
        <v>6372.0240310680856</v>
      </c>
      <c r="L21" s="35">
        <f>+'Child Care &amp; Dev Fd'!G21*'Child Care &amp; Dev Fd'!T21</f>
        <v>43659</v>
      </c>
      <c r="M21" s="35">
        <f>+'Title IV-B'!F21</f>
        <v>3103.0756152197296</v>
      </c>
      <c r="N21" s="35">
        <f>+'Title IV-D'!E21*'Pop Data'!Z21</f>
        <v>22472.277598109864</v>
      </c>
      <c r="O21" s="35">
        <f>+'Title XX'!D21*0.001</f>
        <v>13630.649323074787</v>
      </c>
      <c r="P21" s="35">
        <f>+TANF!E21*TANF!V21</f>
        <v>43776.361831416565</v>
      </c>
      <c r="Q21" s="35">
        <f>+Nutrition!AH21+Prenatal!Q21</f>
        <v>350892.79474259174</v>
      </c>
      <c r="R21" s="41">
        <v>0</v>
      </c>
      <c r="S21" s="35">
        <f>+(+'Tax Credits'!O21*'Low Income Pop'!G21)+('Tax Credits'!P21*'Pop Data'!Z21)</f>
        <v>473249.68300861982</v>
      </c>
      <c r="T21" s="35">
        <f t="shared" si="0"/>
        <v>1501920.7899013872</v>
      </c>
    </row>
    <row r="22" spans="1:20" x14ac:dyDescent="0.2">
      <c r="A22" s="41" t="s">
        <v>0</v>
      </c>
      <c r="B22" s="41">
        <v>0</v>
      </c>
      <c r="C22" s="41">
        <v>0</v>
      </c>
      <c r="D22" s="35">
        <f>+'Head Start'!I22+'Early Intervention'!B23</f>
        <v>75313.597526506288</v>
      </c>
      <c r="E22" s="35">
        <f>+Medicaid!J22*'Low Income Pop'!G22</f>
        <v>111937.25174312353</v>
      </c>
      <c r="F22" s="35">
        <f>+CHIP!E22*'Low Income Pop'!G22</f>
        <v>9150.7384930400567</v>
      </c>
      <c r="G22" s="35">
        <f>+'Mental Health'!H22*'Pop Data'!Z22</f>
        <v>29214.430767864735</v>
      </c>
      <c r="H22" s="35">
        <f>+Immunizations!E22*'Pop Data'!Z22</f>
        <v>2133.0975539263986</v>
      </c>
      <c r="I22" s="35">
        <f>+MCHBG!I22*'Pop Data'!Z22+Prenatal!I22</f>
        <v>2382.7404925728988</v>
      </c>
      <c r="J22" s="35">
        <f>+'Title IV-E'!T22</f>
        <v>9213.4866801720837</v>
      </c>
      <c r="K22" s="35">
        <f>+'CW - State and Local Share'!D22*'Pop Data'!Z22</f>
        <v>11419.634793432562</v>
      </c>
      <c r="L22" s="35">
        <f>+'Child Care &amp; Dev Fd'!G22*'Child Care &amp; Dev Fd'!T22</f>
        <v>5778.920000000001</v>
      </c>
      <c r="M22" s="35">
        <f>+'Title IV-B'!F22</f>
        <v>458.95206280696533</v>
      </c>
      <c r="N22" s="35">
        <f>+'Title IV-D'!E22*'Pop Data'!Z22</f>
        <v>6852.8757737347605</v>
      </c>
      <c r="O22" s="35">
        <f>+'Title XX'!D22*0.001</f>
        <v>374.12805660034354</v>
      </c>
      <c r="P22" s="35">
        <f>+TANF!E22*TANF!V22</f>
        <v>23052.195209925667</v>
      </c>
      <c r="Q22" s="35">
        <f>+Nutrition!AH22+Prenatal!Q22</f>
        <v>66024.482636568879</v>
      </c>
      <c r="R22" s="41">
        <v>0</v>
      </c>
      <c r="S22" s="35">
        <f>+(+'Tax Credits'!O22*'Low Income Pop'!G22)+('Tax Credits'!P22*'Pop Data'!Z22)</f>
        <v>76505.283120403968</v>
      </c>
      <c r="T22" s="35">
        <f t="shared" si="0"/>
        <v>429811.81491067912</v>
      </c>
    </row>
    <row r="23" spans="1:20" x14ac:dyDescent="0.2">
      <c r="A23" s="41" t="s">
        <v>1</v>
      </c>
      <c r="B23" s="41">
        <v>0</v>
      </c>
      <c r="C23" s="41">
        <v>0</v>
      </c>
      <c r="D23" s="35">
        <f>+'Head Start'!I23+'Early Intervention'!B24</f>
        <v>51800.57694307444</v>
      </c>
      <c r="E23" s="35">
        <f>+Medicaid!J23*'Low Income Pop'!G23</f>
        <v>439978.95017436991</v>
      </c>
      <c r="F23" s="35">
        <f>+CHIP!E23*'Low Income Pop'!G23</f>
        <v>55806.337439316565</v>
      </c>
      <c r="G23" s="35">
        <f>+'Mental Health'!H23*'Pop Data'!Z23</f>
        <v>55233.52352708191</v>
      </c>
      <c r="H23" s="35">
        <f>+Immunizations!E23*'Pop Data'!Z23</f>
        <v>11274.667730061021</v>
      </c>
      <c r="I23" s="35">
        <f>+MCHBG!I23*'Pop Data'!Z23+Prenatal!I23</f>
        <v>6507.2139028307784</v>
      </c>
      <c r="J23" s="35">
        <f>+'Title IV-E'!T23</f>
        <v>19889.14160023813</v>
      </c>
      <c r="K23" s="35">
        <f>+'CW - State and Local Share'!D23*'Pop Data'!Z23</f>
        <v>55881.332835243338</v>
      </c>
      <c r="L23" s="35">
        <f>+'Child Care &amp; Dev Fd'!G23*'Child Care &amp; Dev Fd'!T23</f>
        <v>35497.170000000006</v>
      </c>
      <c r="M23" s="35">
        <f>+'Title IV-B'!F23</f>
        <v>1394.3957568279204</v>
      </c>
      <c r="N23" s="35">
        <f>+'Title IV-D'!E23*'Pop Data'!Z23</f>
        <v>35648.302208662004</v>
      </c>
      <c r="O23" s="35">
        <f>+'Title XX'!D23*0.001</f>
        <v>6186.8817063207007</v>
      </c>
      <c r="P23" s="35">
        <f>+TANF!E23*TANF!V23</f>
        <v>133721.79636219959</v>
      </c>
      <c r="Q23" s="35">
        <f>+Nutrition!AH23+Prenatal!Q23</f>
        <v>255912.75219641963</v>
      </c>
      <c r="R23" s="41">
        <v>0</v>
      </c>
      <c r="S23" s="35">
        <f>+(+'Tax Credits'!O23*'Low Income Pop'!G23)+('Tax Credits'!P23*'Pop Data'!Z23)</f>
        <v>406507.19563044177</v>
      </c>
      <c r="T23" s="35">
        <f t="shared" si="0"/>
        <v>1571240.2380130878</v>
      </c>
    </row>
    <row r="24" spans="1:20" x14ac:dyDescent="0.2">
      <c r="A24" s="41" t="s">
        <v>2</v>
      </c>
      <c r="B24" s="41">
        <v>0</v>
      </c>
      <c r="C24" s="41">
        <v>0</v>
      </c>
      <c r="D24" s="35">
        <f>+'Head Start'!I24+'Early Intervention'!B25</f>
        <v>74067.526928610954</v>
      </c>
      <c r="E24" s="35">
        <f>+Medicaid!J24*'Low Income Pop'!G24</f>
        <v>444275.97325029521</v>
      </c>
      <c r="F24" s="35">
        <f>+CHIP!E24*'Low Income Pop'!G24</f>
        <v>103434.65012922729</v>
      </c>
      <c r="G24" s="35">
        <f>+'Mental Health'!H24*'Pop Data'!Z24</f>
        <v>14305.589352166471</v>
      </c>
      <c r="H24" s="35">
        <f>+Immunizations!E24*'Pop Data'!Z24</f>
        <v>11571.852297375153</v>
      </c>
      <c r="I24" s="35">
        <f>+MCHBG!I24*'Pop Data'!Z24+Prenatal!I24</f>
        <v>9625.1355251542191</v>
      </c>
      <c r="J24" s="35">
        <f>+'Title IV-E'!T24</f>
        <v>19129.403823275046</v>
      </c>
      <c r="K24" s="35">
        <f>+'CW - State and Local Share'!D24*'Pop Data'!Z24</f>
        <v>82744.41030815283</v>
      </c>
      <c r="L24" s="35">
        <f>+'Child Care &amp; Dev Fd'!G24*'Child Care &amp; Dev Fd'!T24</f>
        <v>70893.680000000008</v>
      </c>
      <c r="M24" s="35">
        <f>+'Title IV-B'!F24</f>
        <v>1720.7735361621972</v>
      </c>
      <c r="N24" s="35">
        <f>+'Title IV-D'!E24*'Pop Data'!Z24</f>
        <v>27719.566262670232</v>
      </c>
      <c r="O24" s="35">
        <f>+'Title XX'!D24*0.001</f>
        <v>12675.931853165093</v>
      </c>
      <c r="P24" s="35">
        <f>+TANF!E24*TANF!V24</f>
        <v>225740.17237502462</v>
      </c>
      <c r="Q24" s="35">
        <f>+Nutrition!AH24+Prenatal!Q24</f>
        <v>282404.06040870695</v>
      </c>
      <c r="R24" s="41">
        <v>0</v>
      </c>
      <c r="S24" s="35">
        <f>+(+'Tax Credits'!O24*'Low Income Pop'!G24)+('Tax Credits'!P24*'Pop Data'!Z24)</f>
        <v>337339.30993738247</v>
      </c>
      <c r="T24" s="35">
        <f t="shared" si="0"/>
        <v>1717648.0359873688</v>
      </c>
    </row>
    <row r="25" spans="1:20" x14ac:dyDescent="0.2">
      <c r="A25" s="41" t="s">
        <v>3</v>
      </c>
      <c r="B25" s="41">
        <v>0</v>
      </c>
      <c r="C25" s="41">
        <v>0</v>
      </c>
      <c r="D25" s="35">
        <f>+'Head Start'!I25+'Early Intervention'!B26</f>
        <v>35714.881172172056</v>
      </c>
      <c r="E25" s="35">
        <f>+Medicaid!J25*'Low Income Pop'!G25</f>
        <v>616601.3384675167</v>
      </c>
      <c r="F25" s="35">
        <f>+CHIP!E25*'Low Income Pop'!G25</f>
        <v>13819.229493751651</v>
      </c>
      <c r="G25" s="35">
        <f>+'Mental Health'!H25*'Pop Data'!Z25</f>
        <v>30384.170949998672</v>
      </c>
      <c r="H25" s="35">
        <f>+Immunizations!E25*'Pop Data'!Z25</f>
        <v>16321.001813150289</v>
      </c>
      <c r="I25" s="35">
        <f>+MCHBG!I25*'Pop Data'!Z25+Prenatal!I25</f>
        <v>9160.8624146069233</v>
      </c>
      <c r="J25" s="35">
        <f>+'Title IV-E'!T25</f>
        <v>58176.87741386141</v>
      </c>
      <c r="K25" s="35">
        <f>+'CW - State and Local Share'!D25*'Pop Data'!Z25</f>
        <v>56038.218308063537</v>
      </c>
      <c r="L25" s="35">
        <f>+'Child Care &amp; Dev Fd'!G25*'Child Care &amp; Dev Fd'!T25</f>
        <v>55596.240000000005</v>
      </c>
      <c r="M25" s="35">
        <f>+'Title IV-B'!F25</f>
        <v>3712.4351261044958</v>
      </c>
      <c r="N25" s="35">
        <f>+'Title IV-D'!E25*'Pop Data'!Z25</f>
        <v>58072.291947928199</v>
      </c>
      <c r="O25" s="35">
        <f>+'Title XX'!D25*0.001</f>
        <v>28225.676543730075</v>
      </c>
      <c r="P25" s="35">
        <f>+TANF!E25*TANF!V25</f>
        <v>427557.83546133112</v>
      </c>
      <c r="Q25" s="35">
        <f>+Nutrition!AH25+Prenatal!Q25</f>
        <v>610990.47633064492</v>
      </c>
      <c r="R25" s="41">
        <v>0</v>
      </c>
      <c r="S25" s="35">
        <f>+(+'Tax Credits'!O25*'Low Income Pop'!G25)+('Tax Credits'!P25*'Pop Data'!Z25)</f>
        <v>729845.85483116377</v>
      </c>
      <c r="T25" s="35">
        <f t="shared" si="0"/>
        <v>2750217.3902740236</v>
      </c>
    </row>
    <row r="26" spans="1:20" x14ac:dyDescent="0.2">
      <c r="A26" s="41" t="s">
        <v>4</v>
      </c>
      <c r="B26" s="41">
        <v>0</v>
      </c>
      <c r="C26" s="41">
        <v>0</v>
      </c>
      <c r="D26" s="35">
        <f>+'Head Start'!I26+'Early Intervention'!B27</f>
        <v>20193.427503892184</v>
      </c>
      <c r="E26" s="35">
        <f>+Medicaid!J26*'Low Income Pop'!G26</f>
        <v>475523.88166002359</v>
      </c>
      <c r="F26" s="35">
        <f>+CHIP!E26*'Low Income Pop'!G26</f>
        <v>4534.6532027813391</v>
      </c>
      <c r="G26" s="35">
        <f>+'Mental Health'!H26*'Pop Data'!Z26</f>
        <v>44088.999465110188</v>
      </c>
      <c r="H26" s="35">
        <f>+Immunizations!E26*'Pop Data'!Z26</f>
        <v>7565.2336259132953</v>
      </c>
      <c r="I26" s="35">
        <f>+MCHBG!I26*'Pop Data'!Z26+Prenatal!I26</f>
        <v>3299.4158707571532</v>
      </c>
      <c r="J26" s="35">
        <f>+'Title IV-E'!T26</f>
        <v>14822.158893498245</v>
      </c>
      <c r="K26" s="35">
        <f>+'CW - State and Local Share'!D26*'Pop Data'!Z26</f>
        <v>60448.925658309228</v>
      </c>
      <c r="L26" s="35">
        <f>+'Child Care &amp; Dev Fd'!G26*'Child Care &amp; Dev Fd'!T26</f>
        <v>52650.54</v>
      </c>
      <c r="M26" s="35">
        <f>+'Title IV-B'!F26</f>
        <v>1362.6979701757468</v>
      </c>
      <c r="N26" s="35">
        <f>+'Title IV-D'!E26*'Pop Data'!Z26</f>
        <v>46798.762107529845</v>
      </c>
      <c r="O26" s="35">
        <f>+'Title XX'!D26*0.001</f>
        <v>3791.3254162140024</v>
      </c>
      <c r="P26" s="35">
        <f>+TANF!E26*TANF!V26</f>
        <v>101016.05322508766</v>
      </c>
      <c r="Q26" s="35">
        <f>+Nutrition!AH26+Prenatal!Q26</f>
        <v>206974.65950575119</v>
      </c>
      <c r="R26" s="41">
        <v>0</v>
      </c>
      <c r="S26" s="35">
        <f>+(+'Tax Credits'!O26*'Low Income Pop'!G26)+('Tax Credits'!P26*'Pop Data'!Z26)</f>
        <v>373076.77054568217</v>
      </c>
      <c r="T26" s="35">
        <f t="shared" si="0"/>
        <v>1416147.504650726</v>
      </c>
    </row>
    <row r="27" spans="1:20" x14ac:dyDescent="0.2">
      <c r="A27" s="41" t="s">
        <v>5</v>
      </c>
      <c r="B27" s="41">
        <v>0</v>
      </c>
      <c r="C27" s="41">
        <v>0</v>
      </c>
      <c r="D27" s="35">
        <f>+'Head Start'!I27+'Early Intervention'!B28</f>
        <v>38583.468859156805</v>
      </c>
      <c r="E27" s="35">
        <f>+Medicaid!J27*'Low Income Pop'!G27</f>
        <v>275945.79695257766</v>
      </c>
      <c r="F27" s="35">
        <f>+CHIP!E27*'Low Income Pop'!G27</f>
        <v>45278.725553446282</v>
      </c>
      <c r="G27" s="35">
        <f>+'Mental Health'!H27*'Pop Data'!Z27</f>
        <v>15923.083562845353</v>
      </c>
      <c r="H27" s="35">
        <f>+Immunizations!E27*'Pop Data'!Z27</f>
        <v>7890.7965617784275</v>
      </c>
      <c r="I27" s="35">
        <f>+MCHBG!I27*'Pop Data'!Z27+Prenatal!I27</f>
        <v>4606.0091219629348</v>
      </c>
      <c r="J27" s="35">
        <f>+'Title IV-E'!T27</f>
        <v>4838.0161928762045</v>
      </c>
      <c r="K27" s="35">
        <f>+'CW - State and Local Share'!D27*'Pop Data'!Z27</f>
        <v>8529.5515158996041</v>
      </c>
      <c r="L27" s="35">
        <f>+'Child Care &amp; Dev Fd'!G27*'Child Care &amp; Dev Fd'!T27</f>
        <v>21803.31</v>
      </c>
      <c r="M27" s="35">
        <f>+'Title IV-B'!F27</f>
        <v>1629.3828926058532</v>
      </c>
      <c r="N27" s="35">
        <f>+'Title IV-D'!E27*'Pop Data'!Z27</f>
        <v>8626.1402353042195</v>
      </c>
      <c r="O27" s="35">
        <f>+'Title XX'!D27*0.001</f>
        <v>3704.1260248147223</v>
      </c>
      <c r="P27" s="35">
        <f>+TANF!E27*TANF!V27</f>
        <v>23170.737654949804</v>
      </c>
      <c r="Q27" s="35">
        <f>+Nutrition!AH27+Prenatal!Q27</f>
        <v>211182.47332345956</v>
      </c>
      <c r="R27" s="41">
        <v>0</v>
      </c>
      <c r="S27" s="35">
        <f>+(+'Tax Credits'!O27*'Low Income Pop'!G27)+('Tax Credits'!P27*'Pop Data'!Z27)</f>
        <v>341391.76312194759</v>
      </c>
      <c r="T27" s="35">
        <f t="shared" si="0"/>
        <v>1013103.3815736251</v>
      </c>
    </row>
    <row r="28" spans="1:20" x14ac:dyDescent="0.2">
      <c r="A28" s="41" t="s">
        <v>6</v>
      </c>
      <c r="B28" s="41">
        <v>0</v>
      </c>
      <c r="C28" s="41">
        <v>0</v>
      </c>
      <c r="D28" s="35">
        <f>+'Head Start'!I28+'Early Intervention'!B29</f>
        <v>28513.184264939257</v>
      </c>
      <c r="E28" s="35">
        <f>+Medicaid!J28*'Low Income Pop'!G28</f>
        <v>574032.92025880853</v>
      </c>
      <c r="F28" s="35">
        <f>+CHIP!E28*'Low Income Pop'!G28</f>
        <v>36369.525844367025</v>
      </c>
      <c r="G28" s="35">
        <f>+'Mental Health'!H28*'Pop Data'!Z28</f>
        <v>12941.672515797265</v>
      </c>
      <c r="H28" s="35">
        <f>+Immunizations!E28*'Pop Data'!Z28</f>
        <v>10708.611895634765</v>
      </c>
      <c r="I28" s="35">
        <f>+MCHBG!I28*'Pop Data'!Z28+Prenatal!I28</f>
        <v>5599.2554694597347</v>
      </c>
      <c r="J28" s="35">
        <f>+'Title IV-E'!T28</f>
        <v>23257.425675056555</v>
      </c>
      <c r="K28" s="35">
        <f>+'CW - State and Local Share'!D28*'Pop Data'!Z28</f>
        <v>38802.725437218338</v>
      </c>
      <c r="L28" s="35">
        <f>+'Child Care &amp; Dev Fd'!G28*'Child Care &amp; Dev Fd'!T28</f>
        <v>48021.9</v>
      </c>
      <c r="M28" s="35">
        <f>+'Title IV-B'!F28</f>
        <v>3383.221263176863</v>
      </c>
      <c r="N28" s="35">
        <f>+'Title IV-D'!E28*'Pop Data'!Z28</f>
        <v>22419.18539126098</v>
      </c>
      <c r="O28" s="35">
        <f>+'Title XX'!D28*0.001</f>
        <v>9718.9605106593299</v>
      </c>
      <c r="P28" s="35">
        <f>+TANF!E28*TANF!V28</f>
        <v>129312.33998424135</v>
      </c>
      <c r="Q28" s="35">
        <f>+Nutrition!AH28+Prenatal!Q28</f>
        <v>301795.0964142913</v>
      </c>
      <c r="R28" s="41">
        <v>0</v>
      </c>
      <c r="S28" s="35">
        <f>+(+'Tax Credits'!O28*'Low Income Pop'!G28)+('Tax Credits'!P28*'Pop Data'!Z28)</f>
        <v>452358.91189927468</v>
      </c>
      <c r="T28" s="35">
        <f t="shared" si="0"/>
        <v>1697234.936824186</v>
      </c>
    </row>
    <row r="29" spans="1:20" x14ac:dyDescent="0.2">
      <c r="A29" s="41" t="s">
        <v>7</v>
      </c>
      <c r="B29" s="41">
        <v>0</v>
      </c>
      <c r="C29" s="41">
        <v>0</v>
      </c>
      <c r="D29" s="35">
        <f>+'Head Start'!I29+'Early Intervention'!B30</f>
        <v>4139.0977831858409</v>
      </c>
      <c r="E29" s="35">
        <f>+Medicaid!J29*'Low Income Pop'!G29</f>
        <v>60374.106454501227</v>
      </c>
      <c r="F29" s="35">
        <f>+CHIP!E29*'Low Income Pop'!G29</f>
        <v>16546.148078065493</v>
      </c>
      <c r="G29" s="35">
        <f>+'Mental Health'!H29*'Pop Data'!Z29</f>
        <v>15732.704045601638</v>
      </c>
      <c r="H29" s="35">
        <f>+Immunizations!E29*'Pop Data'!Z29</f>
        <v>1552.8722476259122</v>
      </c>
      <c r="I29" s="35">
        <f>+MCHBG!I29*'Pop Data'!Z29+Prenatal!I29</f>
        <v>836.13469350391927</v>
      </c>
      <c r="J29" s="35">
        <f>+'Title IV-E'!T29</f>
        <v>4427.6247193440859</v>
      </c>
      <c r="K29" s="35">
        <f>+'CW - State and Local Share'!D29*'Pop Data'!Z29</f>
        <v>5827.7893684115688</v>
      </c>
      <c r="L29" s="35">
        <f>+'Child Care &amp; Dev Fd'!G29*'Child Care &amp; Dev Fd'!T29</f>
        <v>9260.4600000000009</v>
      </c>
      <c r="M29" s="35">
        <f>+'Title IV-B'!F29</f>
        <v>245.77276932704655</v>
      </c>
      <c r="N29" s="35">
        <f>+'Title IV-D'!E29*'Pop Data'!Z29</f>
        <v>4190.435750968556</v>
      </c>
      <c r="O29" s="35">
        <f>+'Title XX'!D29*0.001</f>
        <v>1073.3632951504594</v>
      </c>
      <c r="P29" s="35">
        <f>+TANF!E29*TANF!V29</f>
        <v>10328.601302510961</v>
      </c>
      <c r="Q29" s="35">
        <f>+Nutrition!AH29+Prenatal!Q29</f>
        <v>44214.478044579366</v>
      </c>
      <c r="R29" s="41">
        <v>0</v>
      </c>
      <c r="S29" s="35">
        <f>+(+'Tax Credits'!O29*'Low Income Pop'!G29)+('Tax Credits'!P29*'Pop Data'!Z29)</f>
        <v>64670.486859580982</v>
      </c>
      <c r="T29" s="35">
        <f t="shared" si="0"/>
        <v>243420.07541235705</v>
      </c>
    </row>
    <row r="30" spans="1:20" x14ac:dyDescent="0.2">
      <c r="A30" s="41" t="s">
        <v>8</v>
      </c>
      <c r="B30" s="41">
        <v>0</v>
      </c>
      <c r="C30" s="41">
        <v>0</v>
      </c>
      <c r="D30" s="35">
        <f>+'Head Start'!I30+'Early Intervention'!B31</f>
        <v>62235.804223801068</v>
      </c>
      <c r="E30" s="35">
        <f>+Medicaid!J30*'Low Income Pop'!G30</f>
        <v>107987.52952694641</v>
      </c>
      <c r="F30" s="35">
        <f>+CHIP!E30*'Low Income Pop'!G30</f>
        <v>14249.24229244492</v>
      </c>
      <c r="G30" s="35">
        <f>+'Mental Health'!H30*'Pop Data'!Z30</f>
        <v>2031.7119530103344</v>
      </c>
      <c r="H30" s="35">
        <f>+Immunizations!E30*'Pop Data'!Z30</f>
        <v>4262.939548336768</v>
      </c>
      <c r="I30" s="35">
        <f>+MCHBG!I30*'Pop Data'!Z30+Prenatal!I30</f>
        <v>1210.6561067921148</v>
      </c>
      <c r="J30" s="35">
        <f>+'Title IV-E'!T30</f>
        <v>5568.9078630139938</v>
      </c>
      <c r="K30" s="35">
        <f>+'CW - State and Local Share'!D30*'Pop Data'!Z30</f>
        <v>28808.805856648072</v>
      </c>
      <c r="L30" s="35">
        <f>+'Child Care &amp; Dev Fd'!G30*'Child Care &amp; Dev Fd'!T30</f>
        <v>32436.85</v>
      </c>
      <c r="M30" s="35">
        <f>+'Title IV-B'!F30</f>
        <v>666.94973598178376</v>
      </c>
      <c r="N30" s="35">
        <f>+'Title IV-D'!E30*'Pop Data'!Z30</f>
        <v>9832.5120229604763</v>
      </c>
      <c r="O30" s="35">
        <f>+'Title XX'!D30*0.001</f>
        <v>773.47536058242667</v>
      </c>
      <c r="P30" s="35">
        <f>+TANF!E30*TANF!V30</f>
        <v>18981.747156751866</v>
      </c>
      <c r="Q30" s="35">
        <f>+Nutrition!AH30+Prenatal!Q30</f>
        <v>76842.288572664067</v>
      </c>
      <c r="R30" s="41">
        <v>0</v>
      </c>
      <c r="S30" s="35">
        <f>+(+'Tax Credits'!O30*'Low Income Pop'!G30)+('Tax Credits'!P30*'Pop Data'!Z30)</f>
        <v>146999.06551666019</v>
      </c>
      <c r="T30" s="35">
        <f t="shared" si="0"/>
        <v>512888.48573659454</v>
      </c>
    </row>
    <row r="31" spans="1:20" x14ac:dyDescent="0.2">
      <c r="A31" s="41" t="s">
        <v>92</v>
      </c>
      <c r="B31" s="41">
        <v>0</v>
      </c>
      <c r="C31" s="41">
        <v>0</v>
      </c>
      <c r="D31" s="35">
        <f>+'Head Start'!I31+'Early Intervention'!B32</f>
        <v>8406.6434194178983</v>
      </c>
      <c r="E31" s="35">
        <f>+Medicaid!J31*'Low Income Pop'!G31</f>
        <v>141646.30541136247</v>
      </c>
      <c r="F31" s="35">
        <f>+CHIP!E31*'Low Income Pop'!G31</f>
        <v>9901.556930911267</v>
      </c>
      <c r="G31" s="35">
        <f>+'Mental Health'!H31*'Pop Data'!Z31</f>
        <v>5008.4043157480273</v>
      </c>
      <c r="H31" s="35">
        <f>+Immunizations!E31*'Pop Data'!Z31</f>
        <v>6181.2823101857639</v>
      </c>
      <c r="I31" s="35">
        <f>+MCHBG!I31*'Pop Data'!Z31+Prenatal!I31</f>
        <v>686.77778180272855</v>
      </c>
      <c r="J31" s="35">
        <f>+'Title IV-E'!T31</f>
        <v>13744.491444785355</v>
      </c>
      <c r="K31" s="35">
        <f>+'CW - State and Local Share'!D31*'Pop Data'!Z31</f>
        <v>9962.5252304534624</v>
      </c>
      <c r="L31" s="35">
        <f>+'Child Care &amp; Dev Fd'!G31*'Child Care &amp; Dev Fd'!T31</f>
        <v>13996.36</v>
      </c>
      <c r="M31" s="35">
        <f>+'Title IV-B'!F31</f>
        <v>1206.1952641536895</v>
      </c>
      <c r="N31" s="35">
        <f>+'Title IV-D'!E31*'Pop Data'!Z31</f>
        <v>13793.863375041252</v>
      </c>
      <c r="O31" s="35">
        <f>+'Title XX'!D31*0.001</f>
        <v>2340.1047215537924</v>
      </c>
      <c r="P31" s="35">
        <f>+TANF!E31*TANF!V31</f>
        <v>23518.232069234378</v>
      </c>
      <c r="Q31" s="35">
        <f>+Nutrition!AH31+Prenatal!Q31</f>
        <v>117773.17519432788</v>
      </c>
      <c r="R31" s="41">
        <v>0</v>
      </c>
      <c r="S31" s="35">
        <f>+(+'Tax Credits'!O31*'Low Income Pop'!G31)+('Tax Credits'!P31*'Pop Data'!Z31)</f>
        <v>222934.7716649166</v>
      </c>
      <c r="T31" s="35">
        <f t="shared" si="0"/>
        <v>591100.68913389451</v>
      </c>
    </row>
    <row r="32" spans="1:20" x14ac:dyDescent="0.2">
      <c r="A32" s="41" t="s">
        <v>9</v>
      </c>
      <c r="B32" s="41">
        <v>0</v>
      </c>
      <c r="C32" s="41">
        <v>0</v>
      </c>
      <c r="D32" s="35">
        <f>+'Head Start'!I32+'Early Intervention'!B33</f>
        <v>102265.02985372585</v>
      </c>
      <c r="E32" s="35">
        <f>+Medicaid!J32*'Low Income Pop'!G32</f>
        <v>75781.655232054865</v>
      </c>
      <c r="F32" s="35">
        <f>+CHIP!E32*'Low Income Pop'!G32</f>
        <v>4041.4064663412737</v>
      </c>
      <c r="G32" s="35">
        <f>+'Mental Health'!H32*'Pop Data'!Z32</f>
        <v>6204.3987266498452</v>
      </c>
      <c r="H32" s="35">
        <f>+Immunizations!E32*'Pop Data'!Z32</f>
        <v>1556.4405161766847</v>
      </c>
      <c r="I32" s="35">
        <f>+MCHBG!I32*'Pop Data'!Z32+Prenatal!I32</f>
        <v>948.95925554504447</v>
      </c>
      <c r="J32" s="35">
        <f>+'Title IV-E'!T32</f>
        <v>2788.3116064619412</v>
      </c>
      <c r="K32" s="35">
        <f>+'CW - State and Local Share'!D32*'Pop Data'!Z32</f>
        <v>5029.7325862319904</v>
      </c>
      <c r="L32" s="35">
        <f>+'Child Care &amp; Dev Fd'!G32*'Child Care &amp; Dev Fd'!T32</f>
        <v>8346.2999999999993</v>
      </c>
      <c r="M32" s="35">
        <f>+'Title IV-B'!F32</f>
        <v>358.93285992783206</v>
      </c>
      <c r="N32" s="35">
        <f>+'Title IV-D'!E32*'Pop Data'!Z32</f>
        <v>4635.0453209139869</v>
      </c>
      <c r="O32" s="35">
        <f>+'Title XX'!D32*0.001</f>
        <v>537.56127759079789</v>
      </c>
      <c r="P32" s="35">
        <f>+TANF!E32*TANF!V32</f>
        <v>18166.737255850461</v>
      </c>
      <c r="Q32" s="35">
        <f>+Nutrition!AH32+Prenatal!Q32</f>
        <v>34288.960302581356</v>
      </c>
      <c r="R32" s="41">
        <v>0</v>
      </c>
      <c r="S32" s="35">
        <f>+(+'Tax Credits'!O32*'Low Income Pop'!G32)+('Tax Credits'!P32*'Pop Data'!Z32)</f>
        <v>58482.1210276973</v>
      </c>
      <c r="T32" s="35">
        <f t="shared" si="0"/>
        <v>323431.59228774923</v>
      </c>
    </row>
    <row r="33" spans="1:20" x14ac:dyDescent="0.2">
      <c r="A33" s="41" t="s">
        <v>10</v>
      </c>
      <c r="B33" s="41">
        <v>0</v>
      </c>
      <c r="C33" s="41">
        <v>0</v>
      </c>
      <c r="D33" s="35">
        <f>+'Head Start'!I33+'Early Intervention'!B34</f>
        <v>38833.255291214693</v>
      </c>
      <c r="E33" s="35">
        <f>+Medicaid!J33*'Low Income Pop'!G33</f>
        <v>515151.56489889056</v>
      </c>
      <c r="F33" s="35">
        <f>+CHIP!E33*'Low Income Pop'!G33</f>
        <v>205415.15394633732</v>
      </c>
      <c r="G33" s="35">
        <f>+'Mental Health'!H33*'Pop Data'!Z33</f>
        <v>50298.303898246493</v>
      </c>
      <c r="H33" s="35">
        <f>+Immunizations!E33*'Pop Data'!Z33</f>
        <v>12540.606188819098</v>
      </c>
      <c r="I33" s="35">
        <f>+MCHBG!I33*'Pop Data'!Z33+Prenatal!I33</f>
        <v>36760.672841325242</v>
      </c>
      <c r="J33" s="35">
        <f>+'Title IV-E'!T33</f>
        <v>43908.360866939343</v>
      </c>
      <c r="K33" s="35">
        <f>+'CW - State and Local Share'!D33*'Pop Data'!Z33</f>
        <v>100695.20672291135</v>
      </c>
      <c r="L33" s="35">
        <f>+'Child Care &amp; Dev Fd'!G33*'Child Care &amp; Dev Fd'!T33</f>
        <v>75520.2</v>
      </c>
      <c r="M33" s="35">
        <f>+'Title IV-B'!F33</f>
        <v>2082.5720671329323</v>
      </c>
      <c r="N33" s="35">
        <f>+'Title IV-D'!E33*'Pop Data'!Z33</f>
        <v>72476.314838648541</v>
      </c>
      <c r="O33" s="35">
        <f>+'Title XX'!D33*0.001</f>
        <v>7832.7893634356906</v>
      </c>
      <c r="P33" s="35">
        <f>+TANF!E33*TANF!V33</f>
        <v>240584.27805715735</v>
      </c>
      <c r="Q33" s="35">
        <f>+Nutrition!AH33+Prenatal!Q33</f>
        <v>344599.21433401154</v>
      </c>
      <c r="R33" s="41">
        <v>0</v>
      </c>
      <c r="S33" s="35">
        <f>+(+'Tax Credits'!O33*'Low Income Pop'!G33)+('Tax Credits'!P33*'Pop Data'!Z33)</f>
        <v>543868.11421267584</v>
      </c>
      <c r="T33" s="35">
        <f t="shared" si="0"/>
        <v>2290566.6075277459</v>
      </c>
    </row>
    <row r="34" spans="1:20" x14ac:dyDescent="0.2">
      <c r="A34" s="41" t="s">
        <v>11</v>
      </c>
      <c r="B34" s="41">
        <v>0</v>
      </c>
      <c r="C34" s="41">
        <v>0</v>
      </c>
      <c r="D34" s="35">
        <f>+'Head Start'!I34+'Early Intervention'!B35</f>
        <v>435441.15193011193</v>
      </c>
      <c r="E34" s="35">
        <f>+Medicaid!J34*'Low Income Pop'!G34</f>
        <v>406623.77882088459</v>
      </c>
      <c r="F34" s="35">
        <f>+CHIP!E34*'Low Income Pop'!G34</f>
        <v>34676.886507949501</v>
      </c>
      <c r="G34" s="35">
        <f>+'Mental Health'!H34*'Pop Data'!Z34</f>
        <v>23863.669762577705</v>
      </c>
      <c r="H34" s="35">
        <f>+Immunizations!E34*'Pop Data'!Z34</f>
        <v>6583.6698029515474</v>
      </c>
      <c r="I34" s="35">
        <f>+MCHBG!I34*'Pop Data'!Z34+Prenatal!I34</f>
        <v>1729.2084566967703</v>
      </c>
      <c r="J34" s="35">
        <f>+'Title IV-E'!T34</f>
        <v>9987.300386659721</v>
      </c>
      <c r="K34" s="35">
        <f>+'CW - State and Local Share'!D34*'Pop Data'!Z34</f>
        <v>6033.3148343253461</v>
      </c>
      <c r="L34" s="35">
        <f>+'Child Care &amp; Dev Fd'!G34*'Child Care &amp; Dev Fd'!T34</f>
        <v>20985.850000000002</v>
      </c>
      <c r="M34" s="35">
        <f>+'Title IV-B'!F34</f>
        <v>755.15787581072595</v>
      </c>
      <c r="N34" s="35">
        <f>+'Title IV-D'!E34*'Pop Data'!Z34</f>
        <v>11638.281788811955</v>
      </c>
      <c r="O34" s="35">
        <f>+'Title XX'!D34*0.001</f>
        <v>1578.1022610877856</v>
      </c>
      <c r="P34" s="35">
        <f>+TANF!E34*TANF!V34</f>
        <v>43970.72755934314</v>
      </c>
      <c r="Q34" s="35">
        <f>+Nutrition!AH34+Prenatal!Q34</f>
        <v>128981.96954305778</v>
      </c>
      <c r="R34" s="41">
        <v>0</v>
      </c>
      <c r="S34" s="35">
        <f>+(+'Tax Credits'!O34*'Low Income Pop'!G34)+('Tax Credits'!P34*'Pop Data'!Z34)</f>
        <v>194993.10259214038</v>
      </c>
      <c r="T34" s="35">
        <f t="shared" si="0"/>
        <v>1327842.1721224089</v>
      </c>
    </row>
    <row r="35" spans="1:20" s="23" customFormat="1" x14ac:dyDescent="0.2">
      <c r="A35" s="42" t="s">
        <v>12</v>
      </c>
      <c r="B35" s="42">
        <v>0</v>
      </c>
      <c r="C35" s="42">
        <v>0</v>
      </c>
      <c r="D35" s="37">
        <f>+'Head Start'!I35+'Early Intervention'!B36</f>
        <v>116986.50838414552</v>
      </c>
      <c r="E35" s="37">
        <f>+Medicaid!J35*'Low Income Pop'!G35</f>
        <v>1647981.3679571734</v>
      </c>
      <c r="F35" s="37">
        <f>+CHIP!E35*'Low Income Pop'!G35</f>
        <v>188839.27048356723</v>
      </c>
      <c r="G35" s="37">
        <f>+'Mental Health'!H35*'Pop Data'!Z35</f>
        <v>124510.1250840334</v>
      </c>
      <c r="H35" s="37">
        <f>+Immunizations!E35*'Pop Data'!Z35</f>
        <v>42688.828484541729</v>
      </c>
      <c r="I35" s="37">
        <f>+MCHBG!I35*'Pop Data'!Z35+Prenatal!I35</f>
        <v>40013.064149984726</v>
      </c>
      <c r="J35" s="37">
        <f>+'Title IV-E'!T35</f>
        <v>83294.63046180598</v>
      </c>
      <c r="K35" s="37">
        <f>+'CW - State and Local Share'!D35*'Pop Data'!Z35</f>
        <v>288841.10271315556</v>
      </c>
      <c r="L35" s="37">
        <f>+'Child Care &amp; Dev Fd'!G35*'Child Care &amp; Dev Fd'!T35</f>
        <v>221797.68000000002</v>
      </c>
      <c r="M35" s="37">
        <f>+'Title IV-B'!F35</f>
        <v>6372.940148207239</v>
      </c>
      <c r="N35" s="37">
        <f>+'Title IV-D'!E35*'Pop Data'!Z35</f>
        <v>105144.87639761547</v>
      </c>
      <c r="O35" s="37">
        <f>+'Title XX'!D35*0.001</f>
        <v>39583.573631276689</v>
      </c>
      <c r="P35" s="37">
        <f>+TANF!E35*TANF!V35</f>
        <v>903446.61718273279</v>
      </c>
      <c r="Q35" s="35">
        <f>+Nutrition!AH35+Prenatal!Q35</f>
        <v>1250310.5421657704</v>
      </c>
      <c r="R35" s="42">
        <v>0</v>
      </c>
      <c r="S35" s="37">
        <f>+(+'Tax Credits'!O35*'Low Income Pop'!G35)+('Tax Credits'!P35*'Pop Data'!Z35)</f>
        <v>1780489.8294030332</v>
      </c>
      <c r="T35" s="37">
        <f t="shared" si="0"/>
        <v>6840300.9566470431</v>
      </c>
    </row>
    <row r="36" spans="1:20" x14ac:dyDescent="0.2">
      <c r="A36" s="41" t="s">
        <v>13</v>
      </c>
      <c r="B36" s="41">
        <v>0</v>
      </c>
      <c r="C36" s="41">
        <v>0</v>
      </c>
      <c r="D36" s="35">
        <f>+'Head Start'!I36+'Early Intervention'!B37</f>
        <v>55246.034580040468</v>
      </c>
      <c r="E36" s="35">
        <f>+Medicaid!J36*'Low Income Pop'!G36</f>
        <v>787444.64026986214</v>
      </c>
      <c r="F36" s="35">
        <f>+CHIP!E36*'Low Income Pop'!G36</f>
        <v>85463.292495668211</v>
      </c>
      <c r="G36" s="35">
        <f>+'Mental Health'!H36*'Pop Data'!Z36</f>
        <v>106204.32342307057</v>
      </c>
      <c r="H36" s="35">
        <f>+Immunizations!E36*'Pop Data'!Z36</f>
        <v>17836.442707542614</v>
      </c>
      <c r="I36" s="35">
        <f>+MCHBG!I36*'Pop Data'!Z36+Prenatal!I36</f>
        <v>15097.604406803677</v>
      </c>
      <c r="J36" s="35">
        <f>+'Title IV-E'!T36</f>
        <v>27658.063835334622</v>
      </c>
      <c r="K36" s="35">
        <f>+'CW - State and Local Share'!D36*'Pop Data'!Z36</f>
        <v>36628.96349399614</v>
      </c>
      <c r="L36" s="35">
        <f>+'Child Care &amp; Dev Fd'!G36*'Child Care &amp; Dev Fd'!T36</f>
        <v>75236.7</v>
      </c>
      <c r="M36" s="35">
        <f>+'Title IV-B'!F36</f>
        <v>3381.3707309324227</v>
      </c>
      <c r="N36" s="35">
        <f>+'Title IV-D'!E36*'Pop Data'!Z36</f>
        <v>40516.268746326306</v>
      </c>
      <c r="O36" s="35">
        <f>+'Title XX'!D36*0.001</f>
        <v>5361.8982214160023</v>
      </c>
      <c r="P36" s="35">
        <f>+TANF!E36*TANF!V36</f>
        <v>118915.2773143306</v>
      </c>
      <c r="Q36" s="35">
        <f>+Nutrition!AH36+Prenatal!Q36</f>
        <v>535736.02276680816</v>
      </c>
      <c r="R36" s="41">
        <v>0</v>
      </c>
      <c r="S36" s="35">
        <f>+(+'Tax Credits'!O36*'Low Income Pop'!G36)+('Tax Credits'!P36*'Pop Data'!Z36)</f>
        <v>830992.96003484586</v>
      </c>
      <c r="T36" s="35">
        <f t="shared" si="0"/>
        <v>2741719.8630269775</v>
      </c>
    </row>
    <row r="37" spans="1:20" x14ac:dyDescent="0.2">
      <c r="A37" s="41" t="s">
        <v>14</v>
      </c>
      <c r="B37" s="41">
        <v>0</v>
      </c>
      <c r="C37" s="41">
        <v>0</v>
      </c>
      <c r="D37" s="35">
        <f>+'Head Start'!I37+'Early Intervention'!B38</f>
        <v>117304.76808778626</v>
      </c>
      <c r="E37" s="35">
        <f>+Medicaid!J37*'Low Income Pop'!G37</f>
        <v>29166.013422669083</v>
      </c>
      <c r="F37" s="35">
        <f>+CHIP!E37*'Low Income Pop'!G37</f>
        <v>4641.334329589713</v>
      </c>
      <c r="G37" s="35">
        <f>+'Mental Health'!H37*'Pop Data'!Z37</f>
        <v>626.76609402740144</v>
      </c>
      <c r="H37" s="35">
        <f>+Immunizations!E37*'Pop Data'!Z37</f>
        <v>1449.8962780192487</v>
      </c>
      <c r="I37" s="35">
        <f>+MCHBG!I37*'Pop Data'!Z37+Prenatal!I37</f>
        <v>657.09322477491469</v>
      </c>
      <c r="J37" s="35">
        <f>+'Title IV-E'!T37</f>
        <v>3863.6940022767258</v>
      </c>
      <c r="K37" s="35">
        <f>+'CW - State and Local Share'!D37*'Pop Data'!Z37</f>
        <v>4487.7426523853874</v>
      </c>
      <c r="L37" s="35">
        <f>+'Child Care &amp; Dev Fd'!G37*'Child Care &amp; Dev Fd'!T37</f>
        <v>4330.5600000000004</v>
      </c>
      <c r="M37" s="35">
        <f>+'Title IV-B'!F37</f>
        <v>199.02146269551008</v>
      </c>
      <c r="N37" s="35">
        <f>+'Title IV-D'!E37*'Pop Data'!Z37</f>
        <v>4650.3084769222805</v>
      </c>
      <c r="O37" s="35">
        <f>+'Title XX'!D37*0.001</f>
        <v>163.76043372452384</v>
      </c>
      <c r="P37" s="35">
        <f>+TANF!E37*TANF!V37</f>
        <v>9415.8139338896526</v>
      </c>
      <c r="Q37" s="35">
        <f>+Nutrition!AH37+Prenatal!Q37</f>
        <v>30054.922325377091</v>
      </c>
      <c r="R37" s="41">
        <v>0</v>
      </c>
      <c r="S37" s="35">
        <f>+(+'Tax Credits'!O37*'Low Income Pop'!G37)+('Tax Credits'!P37*'Pop Data'!Z37)</f>
        <v>39485.861592245172</v>
      </c>
      <c r="T37" s="35">
        <f t="shared" si="0"/>
        <v>250497.55631638289</v>
      </c>
    </row>
    <row r="38" spans="1:20" x14ac:dyDescent="0.2">
      <c r="A38" s="41" t="s">
        <v>15</v>
      </c>
      <c r="B38" s="41">
        <v>0</v>
      </c>
      <c r="C38" s="41">
        <v>0</v>
      </c>
      <c r="D38" s="35">
        <f>+'Head Start'!I38+'Early Intervention'!B39</f>
        <v>50469.267568603464</v>
      </c>
      <c r="E38" s="35">
        <f>+Medicaid!J38*'Low Income Pop'!G38</f>
        <v>708387.60994132224</v>
      </c>
      <c r="F38" s="35">
        <f>+CHIP!E38*'Low Income Pop'!G38</f>
        <v>96347.030282253807</v>
      </c>
      <c r="G38" s="35">
        <f>+'Mental Health'!H38*'Pop Data'!Z38</f>
        <v>58070.978425140798</v>
      </c>
      <c r="H38" s="35">
        <f>+Immunizations!E38*'Pop Data'!Z38</f>
        <v>17824.109459073072</v>
      </c>
      <c r="I38" s="35">
        <f>+MCHBG!I38*'Pop Data'!Z38+Prenatal!I38</f>
        <v>9846.0088041997624</v>
      </c>
      <c r="J38" s="35">
        <f>+'Title IV-E'!T38</f>
        <v>99724.003841854515</v>
      </c>
      <c r="K38" s="35">
        <f>+'CW - State and Local Share'!D38*'Pop Data'!Z38</f>
        <v>137863.67379341467</v>
      </c>
      <c r="L38" s="35">
        <f>+'Child Care &amp; Dev Fd'!G38*'Child Care &amp; Dev Fd'!T38</f>
        <v>89362.5</v>
      </c>
      <c r="M38" s="35">
        <f>+'Title IV-B'!F38</f>
        <v>5012.9521625773577</v>
      </c>
      <c r="N38" s="35">
        <f>+'Title IV-D'!E38*'Pop Data'!Z38</f>
        <v>62580.396846235686</v>
      </c>
      <c r="O38" s="35">
        <f>+'Title XX'!D38*0.001</f>
        <v>5085.9872314401919</v>
      </c>
      <c r="P38" s="35">
        <f>+TANF!E38*TANF!V38</f>
        <v>236647.47398915436</v>
      </c>
      <c r="Q38" s="35">
        <f>+Nutrition!AH38+Prenatal!Q38</f>
        <v>495045.75330281316</v>
      </c>
      <c r="R38" s="41">
        <v>0</v>
      </c>
      <c r="S38" s="35">
        <f>+(+'Tax Credits'!O38*'Low Income Pop'!G38)+('Tax Credits'!P38*'Pop Data'!Z38)</f>
        <v>808163.90821444103</v>
      </c>
      <c r="T38" s="35">
        <f t="shared" si="0"/>
        <v>2880431.6538625243</v>
      </c>
    </row>
    <row r="39" spans="1:20" x14ac:dyDescent="0.2">
      <c r="A39" s="41" t="s">
        <v>16</v>
      </c>
      <c r="B39" s="41">
        <v>0</v>
      </c>
      <c r="C39" s="41">
        <v>0</v>
      </c>
      <c r="D39" s="35">
        <f>+'Head Start'!I39+'Early Intervention'!B40</f>
        <v>14833.871973993329</v>
      </c>
      <c r="E39" s="35">
        <f>+Medicaid!J39*'Low Income Pop'!G39</f>
        <v>352946.01432467537</v>
      </c>
      <c r="F39" s="35">
        <f>+CHIP!E39*'Low Income Pop'!G39</f>
        <v>33323.31973995435</v>
      </c>
      <c r="G39" s="35">
        <f>+'Mental Health'!H39*'Pop Data'!Z39</f>
        <v>3634.4955067624683</v>
      </c>
      <c r="H39" s="35">
        <f>+Immunizations!E39*'Pop Data'!Z39</f>
        <v>10647.986619422785</v>
      </c>
      <c r="I39" s="35">
        <f>+MCHBG!I39*'Pop Data'!Z39+Prenatal!I39</f>
        <v>3017.0287364532205</v>
      </c>
      <c r="J39" s="35">
        <f>+'Title IV-E'!T39</f>
        <v>17647.270038157043</v>
      </c>
      <c r="K39" s="35">
        <f>+'CW - State and Local Share'!D39*'Pop Data'!Z39</f>
        <v>17873.175873167598</v>
      </c>
      <c r="L39" s="35">
        <f>+'Child Care &amp; Dev Fd'!G39*'Child Care &amp; Dev Fd'!T39</f>
        <v>45066.999999999993</v>
      </c>
      <c r="M39" s="35">
        <f>+'Title IV-B'!F39</f>
        <v>1192.4397150346726</v>
      </c>
      <c r="N39" s="35">
        <f>+'Title IV-D'!E39*'Pop Data'!Z39</f>
        <v>21129.356996169041</v>
      </c>
      <c r="O39" s="35">
        <f>+'Title XX'!D39*0.001</f>
        <v>8500.1784680000001</v>
      </c>
      <c r="P39" s="35">
        <f>+TANF!E39*TANF!V39</f>
        <v>27345.971931695811</v>
      </c>
      <c r="Q39" s="35">
        <f>+Nutrition!AH39+Prenatal!Q39</f>
        <v>226863.2399909831</v>
      </c>
      <c r="R39" s="41">
        <v>0</v>
      </c>
      <c r="S39" s="35">
        <f>+(+'Tax Credits'!O39*'Low Income Pop'!G39)+('Tax Credits'!P39*'Pop Data'!Z39)</f>
        <v>325913.99321276339</v>
      </c>
      <c r="T39" s="35">
        <f t="shared" si="0"/>
        <v>1109935.3431272323</v>
      </c>
    </row>
    <row r="40" spans="1:20" x14ac:dyDescent="0.2">
      <c r="A40" s="41" t="s">
        <v>17</v>
      </c>
      <c r="B40" s="41">
        <v>0</v>
      </c>
      <c r="C40" s="41">
        <v>0</v>
      </c>
      <c r="D40" s="35">
        <f>+'Head Start'!I40+'Early Intervention'!B41</f>
        <v>116422.369099156</v>
      </c>
      <c r="E40" s="35">
        <f>+Medicaid!J40*'Low Income Pop'!G40</f>
        <v>218219.81706391805</v>
      </c>
      <c r="F40" s="35">
        <f>+CHIP!E40*'Low Income Pop'!G40</f>
        <v>42317.052709645599</v>
      </c>
      <c r="G40" s="35">
        <f>+'Mental Health'!H40*'Pop Data'!Z40</f>
        <v>23966.322948781803</v>
      </c>
      <c r="H40" s="35">
        <f>+Immunizations!E40*'Pop Data'!Z40</f>
        <v>6155.5160677217928</v>
      </c>
      <c r="I40" s="35">
        <f>+MCHBG!I40*'Pop Data'!Z40+Prenatal!I40</f>
        <v>7422.6834223017249</v>
      </c>
      <c r="J40" s="35">
        <f>+'Title IV-E'!T40</f>
        <v>22069.080467400399</v>
      </c>
      <c r="K40" s="35">
        <f>+'CW - State and Local Share'!D40*'Pop Data'!Z40</f>
        <v>32175.923371879006</v>
      </c>
      <c r="L40" s="35">
        <f>+'Child Care &amp; Dev Fd'!G40*'Child Care &amp; Dev Fd'!T40</f>
        <v>19684.78</v>
      </c>
      <c r="M40" s="35">
        <f>+'Title IV-B'!F40</f>
        <v>1107.1808282877989</v>
      </c>
      <c r="N40" s="35">
        <f>+'Title IV-D'!E40*'Pop Data'!Z40</f>
        <v>18428.674586114259</v>
      </c>
      <c r="O40" s="35">
        <f>+'Title XX'!D40*0.001</f>
        <v>6104.017726</v>
      </c>
      <c r="P40" s="35">
        <f>+TANF!E40*TANF!V40</f>
        <v>77599.39129149713</v>
      </c>
      <c r="Q40" s="35">
        <f>+Nutrition!AH40+Prenatal!Q40</f>
        <v>239175.83326789169</v>
      </c>
      <c r="R40" s="41">
        <v>0</v>
      </c>
      <c r="S40" s="35">
        <f>+(+'Tax Credits'!O40*'Low Income Pop'!G40)+('Tax Credits'!P40*'Pop Data'!Z40)</f>
        <v>247284.44987438549</v>
      </c>
      <c r="T40" s="35">
        <f t="shared" si="0"/>
        <v>1078133.0927249808</v>
      </c>
    </row>
    <row r="41" spans="1:20" x14ac:dyDescent="0.2">
      <c r="A41" s="41" t="s">
        <v>18</v>
      </c>
      <c r="B41" s="41">
        <v>0</v>
      </c>
      <c r="C41" s="41">
        <v>0</v>
      </c>
      <c r="D41" s="35">
        <f>+'Head Start'!I41+'Early Intervention'!B42</f>
        <v>46681.107138448882</v>
      </c>
      <c r="E41" s="35">
        <f>+Medicaid!J41*'Low Income Pop'!G41</f>
        <v>1011879.1469800901</v>
      </c>
      <c r="F41" s="35">
        <f>+CHIP!E41*'Low Income Pop'!G41</f>
        <v>92662.035456608151</v>
      </c>
      <c r="G41" s="35">
        <f>+'Mental Health'!H41*'Pop Data'!Z41</f>
        <v>320128.54737869365</v>
      </c>
      <c r="H41" s="35">
        <f>+Immunizations!E41*'Pop Data'!Z41</f>
        <v>19783.386585903194</v>
      </c>
      <c r="I41" s="35">
        <f>+MCHBG!I41*'Pop Data'!Z41+Prenatal!I41</f>
        <v>13352.886538491472</v>
      </c>
      <c r="J41" s="35">
        <f>+'Title IV-E'!T41</f>
        <v>66418.370507632004</v>
      </c>
      <c r="K41" s="35">
        <f>+'CW - State and Local Share'!D41*'Pop Data'!Z41</f>
        <v>203327.90130306574</v>
      </c>
      <c r="L41" s="35">
        <f>+'Child Care &amp; Dev Fd'!G41*'Child Care &amp; Dev Fd'!T41</f>
        <v>108635.25</v>
      </c>
      <c r="M41" s="35">
        <f>+'Title IV-B'!F41</f>
        <v>4026.962060478395</v>
      </c>
      <c r="N41" s="35">
        <f>+'Title IV-D'!E41*'Pop Data'!Z41</f>
        <v>63695.520298709271</v>
      </c>
      <c r="O41" s="35">
        <f>+'Title XX'!D41*0.001</f>
        <v>12187.800470895172</v>
      </c>
      <c r="P41" s="35">
        <f>+TANF!E41*TANF!V41</f>
        <v>214937.03020615887</v>
      </c>
      <c r="Q41" s="35">
        <f>+Nutrition!AH41+Prenatal!Q41</f>
        <v>576305.9898853827</v>
      </c>
      <c r="R41" s="41">
        <v>0</v>
      </c>
      <c r="S41" s="35">
        <f>+(+'Tax Credits'!O41*'Low Income Pop'!G41)+('Tax Credits'!P41*'Pop Data'!Z41)</f>
        <v>736263.72971863323</v>
      </c>
      <c r="T41" s="35">
        <f t="shared" si="0"/>
        <v>3490285.6645291904</v>
      </c>
    </row>
    <row r="42" spans="1:20" x14ac:dyDescent="0.2">
      <c r="A42" s="41" t="s">
        <v>19</v>
      </c>
      <c r="B42" s="41">
        <v>0</v>
      </c>
      <c r="C42" s="41">
        <v>0</v>
      </c>
      <c r="D42" s="35">
        <f>+'Head Start'!I42+'Early Intervention'!B43</f>
        <v>6561.9400824088752</v>
      </c>
      <c r="E42" s="35">
        <f>+Medicaid!J42*'Low Income Pop'!G42</f>
        <v>107029.06716911173</v>
      </c>
      <c r="F42" s="35">
        <f>+CHIP!E42*'Low Income Pop'!G42</f>
        <v>12703.546502707497</v>
      </c>
      <c r="G42" s="35">
        <f>+'Mental Health'!H42*'Pop Data'!Z42</f>
        <v>0</v>
      </c>
      <c r="H42" s="35">
        <f>+Immunizations!E42*'Pop Data'!Z42</f>
        <v>2475.911553535298</v>
      </c>
      <c r="I42" s="35">
        <f>+MCHBG!I42*'Pop Data'!Z42+Prenatal!I42</f>
        <v>906.26519637462229</v>
      </c>
      <c r="J42" s="35">
        <f>+'Title IV-E'!T42</f>
        <v>5044.6466922586551</v>
      </c>
      <c r="K42" s="35">
        <f>+'CW - State and Local Share'!D42*'Pop Data'!Z42</f>
        <v>16375.373485961363</v>
      </c>
      <c r="L42" s="35">
        <f>+'Child Care &amp; Dev Fd'!G42*'Child Care &amp; Dev Fd'!T42</f>
        <v>9076.56</v>
      </c>
      <c r="M42" s="35">
        <f>+'Title IV-B'!F42</f>
        <v>322.59880232202875</v>
      </c>
      <c r="N42" s="35">
        <f>+'Title IV-D'!E42*'Pop Data'!Z42</f>
        <v>3657.2493694392861</v>
      </c>
      <c r="O42" s="35">
        <f>+'Title XX'!D42*0.001</f>
        <v>2191.1736440748582</v>
      </c>
      <c r="P42" s="35">
        <f>+TANF!E42*TANF!V42</f>
        <v>38974.20586034724</v>
      </c>
      <c r="Q42" s="35">
        <f>+Nutrition!AH42+Prenatal!Q42</f>
        <v>61415.180402521735</v>
      </c>
      <c r="R42" s="41">
        <v>0</v>
      </c>
      <c r="S42" s="35">
        <f>+(+'Tax Credits'!O42*'Low Income Pop'!G42)+('Tax Credits'!P42*'Pop Data'!Z42)</f>
        <v>67145.896879034728</v>
      </c>
      <c r="T42" s="35">
        <f t="shared" si="0"/>
        <v>333879.615640098</v>
      </c>
    </row>
    <row r="43" spans="1:20" x14ac:dyDescent="0.2">
      <c r="A43" s="41" t="s">
        <v>20</v>
      </c>
      <c r="B43" s="41">
        <v>0</v>
      </c>
      <c r="C43" s="41">
        <v>0</v>
      </c>
      <c r="D43" s="35">
        <f>+'Head Start'!I43+'Early Intervention'!B44</f>
        <v>15243.391781455621</v>
      </c>
      <c r="E43" s="35">
        <f>+Medicaid!J43*'Low Income Pop'!G43</f>
        <v>270569.01752920344</v>
      </c>
      <c r="F43" s="35">
        <f>+CHIP!E43*'Low Income Pop'!G43</f>
        <v>26993.627512456791</v>
      </c>
      <c r="G43" s="35">
        <f>+'Mental Health'!H43*'Pop Data'!Z43</f>
        <v>11376.079620684326</v>
      </c>
      <c r="H43" s="35">
        <f>+Immunizations!E43*'Pop Data'!Z43</f>
        <v>9036.5727682248707</v>
      </c>
      <c r="I43" s="35">
        <f>+MCHBG!I43*'Pop Data'!Z43+Prenatal!I43</f>
        <v>5150.0812228536506</v>
      </c>
      <c r="J43" s="35">
        <f>+'Title IV-E'!T43</f>
        <v>8768.041746715553</v>
      </c>
      <c r="K43" s="35">
        <f>+'CW - State and Local Share'!D43*'Pop Data'!Z43</f>
        <v>14428.106568897036</v>
      </c>
      <c r="L43" s="35">
        <f>+'Child Care &amp; Dev Fd'!G43*'Child Care &amp; Dev Fd'!T43</f>
        <v>33815.06</v>
      </c>
      <c r="M43" s="35">
        <f>+'Title IV-B'!F43</f>
        <v>2037.8272305149164</v>
      </c>
      <c r="N43" s="35">
        <f>+'Title IV-D'!E43*'Pop Data'!Z43</f>
        <v>15947.992789489765</v>
      </c>
      <c r="O43" s="35">
        <f>+'Title XX'!D43*0.001</f>
        <v>2948.915781098694</v>
      </c>
      <c r="P43" s="35">
        <f>+TANF!E43*TANF!V43</f>
        <v>38432.876196399229</v>
      </c>
      <c r="Q43" s="35">
        <f>+Nutrition!AH43+Prenatal!Q43</f>
        <v>291752.8762293061</v>
      </c>
      <c r="R43" s="41">
        <v>0</v>
      </c>
      <c r="S43" s="35">
        <f>+(+'Tax Credits'!O43*'Low Income Pop'!G43)+('Tax Credits'!P43*'Pop Data'!Z43)</f>
        <v>425401.33068231598</v>
      </c>
      <c r="T43" s="35">
        <f t="shared" si="0"/>
        <v>1171901.797659616</v>
      </c>
    </row>
    <row r="44" spans="1:20" x14ac:dyDescent="0.2">
      <c r="A44" s="41" t="s">
        <v>21</v>
      </c>
      <c r="B44" s="41">
        <v>0</v>
      </c>
      <c r="C44" s="41">
        <v>0</v>
      </c>
      <c r="D44" s="35">
        <f>+'Head Start'!I44+'Early Intervention'!B45</f>
        <v>20226.729696463135</v>
      </c>
      <c r="E44" s="35">
        <f>+Medicaid!J44*'Low Income Pop'!G44</f>
        <v>61281.62482493875</v>
      </c>
      <c r="F44" s="35">
        <f>+CHIP!E44*'Low Income Pop'!G44</f>
        <v>6792.089201988224</v>
      </c>
      <c r="G44" s="35">
        <f>+'Mental Health'!H44*'Pop Data'!Z44</f>
        <v>3484.2788658269969</v>
      </c>
      <c r="H44" s="35">
        <f>+Immunizations!E44*'Pop Data'!Z44</f>
        <v>2057.9822535840408</v>
      </c>
      <c r="I44" s="35">
        <f>+MCHBG!I44*'Pop Data'!Z44+Prenatal!I44</f>
        <v>1101.6334498381243</v>
      </c>
      <c r="J44" s="35">
        <f>+'Title IV-E'!T44</f>
        <v>1797.3523958681287</v>
      </c>
      <c r="K44" s="35">
        <f>+'CW - State and Local Share'!D44*'Pop Data'!Z44</f>
        <v>4751.1834999436742</v>
      </c>
      <c r="L44" s="35">
        <f>+'Child Care &amp; Dev Fd'!G44*'Child Care &amp; Dev Fd'!T44</f>
        <v>4636.9799999999996</v>
      </c>
      <c r="M44" s="35">
        <f>+'Title IV-B'!F44</f>
        <v>222.15913468128855</v>
      </c>
      <c r="N44" s="35">
        <f>+'Title IV-D'!E44*'Pop Data'!Z44</f>
        <v>2360.6282050654117</v>
      </c>
      <c r="O44" s="35">
        <f>+'Title XX'!D44*0.001</f>
        <v>1000.823818697908</v>
      </c>
      <c r="P44" s="35">
        <f>+TANF!E44*TANF!V44</f>
        <v>4948.0769318049188</v>
      </c>
      <c r="Q44" s="35">
        <f>+Nutrition!AH44+Prenatal!Q44</f>
        <v>45656.37200000586</v>
      </c>
      <c r="R44" s="41">
        <v>0</v>
      </c>
      <c r="S44" s="35">
        <f>+(+'Tax Credits'!O44*'Low Income Pop'!G44)+('Tax Credits'!P44*'Pop Data'!Z44)</f>
        <v>64533.044410137925</v>
      </c>
      <c r="T44" s="35">
        <f t="shared" si="0"/>
        <v>224850.95868884437</v>
      </c>
    </row>
    <row r="45" spans="1:20" x14ac:dyDescent="0.2">
      <c r="A45" s="41" t="s">
        <v>22</v>
      </c>
      <c r="B45" s="41">
        <v>0</v>
      </c>
      <c r="C45" s="41">
        <v>0</v>
      </c>
      <c r="D45" s="35">
        <f>+'Head Start'!I45+'Early Intervention'!B46</f>
        <v>89358.152404649823</v>
      </c>
      <c r="E45" s="35">
        <f>+Medicaid!J45*'Low Income Pop'!G45</f>
        <v>557275.37706718559</v>
      </c>
      <c r="F45" s="35">
        <f>+CHIP!E45*'Low Income Pop'!G45</f>
        <v>54533.00521160716</v>
      </c>
      <c r="G45" s="35">
        <f>+'Mental Health'!H45*'Pop Data'!Z45</f>
        <v>29520.084426763584</v>
      </c>
      <c r="H45" s="35">
        <f>+Immunizations!E45*'Pop Data'!Z45</f>
        <v>13243.421209518505</v>
      </c>
      <c r="I45" s="35">
        <f>+MCHBG!I45*'Pop Data'!Z45+Prenatal!I45</f>
        <v>5422.122036840301</v>
      </c>
      <c r="J45" s="35">
        <f>+'Title IV-E'!T45</f>
        <v>17917.695805688829</v>
      </c>
      <c r="K45" s="35">
        <f>+'CW - State and Local Share'!D45*'Pop Data'!Z45</f>
        <v>40511.086146333102</v>
      </c>
      <c r="L45" s="35">
        <f>+'Child Care &amp; Dev Fd'!G45*'Child Care &amp; Dev Fd'!T45</f>
        <v>61982.080000000002</v>
      </c>
      <c r="M45" s="35">
        <f>+'Title IV-B'!F45</f>
        <v>3371.934486179432</v>
      </c>
      <c r="N45" s="35">
        <f>+'Title IV-D'!E45*'Pop Data'!Z45</f>
        <v>23608.387165867032</v>
      </c>
      <c r="O45" s="35">
        <f>+'Title XX'!D45*0.001</f>
        <v>4827.0681221220193</v>
      </c>
      <c r="P45" s="35">
        <f>+TANF!E45*TANF!V45</f>
        <v>82628.011048205648</v>
      </c>
      <c r="Q45" s="35">
        <f>+Nutrition!AH45+Prenatal!Q45</f>
        <v>417544.45508159639</v>
      </c>
      <c r="R45" s="41">
        <v>0</v>
      </c>
      <c r="S45" s="35">
        <f>+(+'Tax Credits'!O45*'Low Income Pop'!G45)+('Tax Credits'!P45*'Pop Data'!Z45)</f>
        <v>550398.3288287326</v>
      </c>
      <c r="T45" s="35">
        <f t="shared" si="0"/>
        <v>1952141.20904129</v>
      </c>
    </row>
    <row r="46" spans="1:20" x14ac:dyDescent="0.2">
      <c r="A46" s="41" t="s">
        <v>23</v>
      </c>
      <c r="B46" s="41">
        <v>0</v>
      </c>
      <c r="C46" s="41">
        <v>0</v>
      </c>
      <c r="D46" s="35">
        <f>+'Head Start'!I46+'Early Intervention'!B47</f>
        <v>105685.80603768061</v>
      </c>
      <c r="E46" s="35">
        <f>+Medicaid!J46*'Low Income Pop'!G46</f>
        <v>2617486.3822520366</v>
      </c>
      <c r="F46" s="35">
        <f>+CHIP!E46*'Low Income Pop'!G46</f>
        <v>265978.1736552674</v>
      </c>
      <c r="G46" s="35">
        <f>+'Mental Health'!H46*'Pop Data'!Z46</f>
        <v>20632.475938490628</v>
      </c>
      <c r="H46" s="35">
        <f>+Immunizations!E46*'Pop Data'!Z46</f>
        <v>68505.689558284939</v>
      </c>
      <c r="I46" s="35">
        <f>+MCHBG!I46*'Pop Data'!Z46+Prenatal!I46</f>
        <v>13560.272256894465</v>
      </c>
      <c r="J46" s="35">
        <f>+'Title IV-E'!T46</f>
        <v>84076.73105957752</v>
      </c>
      <c r="K46" s="35">
        <f>+'CW - State and Local Share'!D46*'Pop Data'!Z46</f>
        <v>101292.76953761853</v>
      </c>
      <c r="L46" s="35">
        <f>+'Child Care &amp; Dev Fd'!G46*'Child Care &amp; Dev Fd'!T46</f>
        <v>189738.91</v>
      </c>
      <c r="M46" s="35">
        <f>+'Title IV-B'!F46</f>
        <v>9356.0322525485026</v>
      </c>
      <c r="N46" s="35">
        <f>+'Title IV-D'!E46*'Pop Data'!Z46</f>
        <v>89530.667879631335</v>
      </c>
      <c r="O46" s="35">
        <f>+'Title XX'!D46*0.001</f>
        <v>7525.7596872568784</v>
      </c>
      <c r="P46" s="35">
        <f>+TANF!E46*TANF!V46</f>
        <v>183743.8334150365</v>
      </c>
      <c r="Q46" s="35">
        <f>+Nutrition!AH46+Prenatal!Q46</f>
        <v>1395313.0533886151</v>
      </c>
      <c r="R46" s="41">
        <v>0</v>
      </c>
      <c r="S46" s="35">
        <f>+(+'Tax Credits'!O46*'Low Income Pop'!G46)+('Tax Credits'!P46*'Pop Data'!Z46)</f>
        <v>2492187.5452734074</v>
      </c>
      <c r="T46" s="35">
        <f t="shared" si="0"/>
        <v>7644614.1021923469</v>
      </c>
    </row>
    <row r="47" spans="1:20" x14ac:dyDescent="0.2">
      <c r="A47" s="41" t="s">
        <v>24</v>
      </c>
      <c r="B47" s="41">
        <v>0</v>
      </c>
      <c r="C47" s="41">
        <v>0</v>
      </c>
      <c r="D47" s="35">
        <f>+'Head Start'!I47+'Early Intervention'!B48</f>
        <v>13776.436765247268</v>
      </c>
      <c r="E47" s="35">
        <f>+Medicaid!J47*'Low Income Pop'!G47</f>
        <v>146060.76105285471</v>
      </c>
      <c r="F47" s="35">
        <f>+CHIP!E47*'Low Income Pop'!G47</f>
        <v>16955.208975088088</v>
      </c>
      <c r="G47" s="35">
        <f>+'Mental Health'!H47*'Pop Data'!Z47</f>
        <v>9608.5684478523162</v>
      </c>
      <c r="H47" s="35">
        <f>+Immunizations!E47*'Pop Data'!Z47</f>
        <v>4936.8741344591954</v>
      </c>
      <c r="I47" s="35">
        <f>+MCHBG!I47*'Pop Data'!Z47+Prenatal!I47</f>
        <v>4843.8002744681144</v>
      </c>
      <c r="J47" s="35">
        <f>+'Title IV-E'!T47</f>
        <v>5287.382554278739</v>
      </c>
      <c r="K47" s="35">
        <f>+'CW - State and Local Share'!D47*'Pop Data'!Z47</f>
        <v>14567.028786943732</v>
      </c>
      <c r="L47" s="35">
        <f>+'Child Care &amp; Dev Fd'!G47*'Child Care &amp; Dev Fd'!T47</f>
        <v>15105.599999999999</v>
      </c>
      <c r="M47" s="35">
        <f>+'Title IV-B'!F47</f>
        <v>790.52058290776199</v>
      </c>
      <c r="N47" s="35">
        <f>+'Title IV-D'!E47*'Pop Data'!Z47</f>
        <v>9847.7867793128626</v>
      </c>
      <c r="O47" s="35">
        <f>+'Title XX'!D47*0.001</f>
        <v>2433.2742311957627</v>
      </c>
      <c r="P47" s="35">
        <f>+TANF!E47*TANF!V47</f>
        <v>19130.43690221108</v>
      </c>
      <c r="Q47" s="35">
        <f>+Nutrition!AH47+Prenatal!Q47</f>
        <v>104808.26292146224</v>
      </c>
      <c r="R47" s="41">
        <v>0</v>
      </c>
      <c r="S47" s="35">
        <f>+(+'Tax Credits'!O47*'Low Income Pop'!G47)+('Tax Credits'!P47*'Pop Data'!Z47)</f>
        <v>234615.89214470604</v>
      </c>
      <c r="T47" s="35">
        <f t="shared" si="0"/>
        <v>602767.83455298794</v>
      </c>
    </row>
    <row r="48" spans="1:20" x14ac:dyDescent="0.2">
      <c r="A48" s="41" t="s">
        <v>25</v>
      </c>
      <c r="B48" s="41">
        <v>0</v>
      </c>
      <c r="C48" s="41">
        <v>0</v>
      </c>
      <c r="D48" s="35">
        <f>+'Head Start'!I48+'Early Intervention'!B49</f>
        <v>31975.650144260602</v>
      </c>
      <c r="E48" s="35">
        <f>+Medicaid!J48*'Low Income Pop'!G48</f>
        <v>89467.239121526974</v>
      </c>
      <c r="F48" s="35">
        <f>+CHIP!E48*'Low Income Pop'!G48</f>
        <v>1978.687829691032</v>
      </c>
      <c r="G48" s="35">
        <f>+'Mental Health'!H48*'Pop Data'!Z48</f>
        <v>10916.593017019883</v>
      </c>
      <c r="H48" s="35">
        <f>+Immunizations!E48*'Pop Data'!Z48</f>
        <v>1282.0412877669401</v>
      </c>
      <c r="I48" s="35">
        <f>+MCHBG!I48*'Pop Data'!Z48+Prenatal!I48</f>
        <v>590.15327806955975</v>
      </c>
      <c r="J48" s="35">
        <f>+'Title IV-E'!T48</f>
        <v>3788.1079242603928</v>
      </c>
      <c r="K48" s="35">
        <f>+'CW - State and Local Share'!D48*'Pop Data'!Z48</f>
        <v>5306.441739074312</v>
      </c>
      <c r="L48" s="35">
        <f>+'Child Care &amp; Dev Fd'!G48*'Child Care &amp; Dev Fd'!T48</f>
        <v>7291.2000000000007</v>
      </c>
      <c r="M48" s="35">
        <f>+'Title IV-B'!F48</f>
        <v>174.82736903287866</v>
      </c>
      <c r="N48" s="35">
        <f>+'Title IV-D'!E48*'Pop Data'!Z48</f>
        <v>3355.4846269896975</v>
      </c>
      <c r="O48" s="35">
        <f>+'Title XX'!D48*0.001</f>
        <v>1247.5260188668417</v>
      </c>
      <c r="P48" s="35">
        <f>+TANF!E48*TANF!V48</f>
        <v>17393.146252022572</v>
      </c>
      <c r="Q48" s="35">
        <f>+Nutrition!AH48+Prenatal!Q48</f>
        <v>33120.512897604429</v>
      </c>
      <c r="R48" s="41">
        <v>0</v>
      </c>
      <c r="S48" s="35">
        <f>+(+'Tax Credits'!O48*'Low Income Pop'!G48)+('Tax Credits'!P48*'Pop Data'!Z48)</f>
        <v>37667.398766910141</v>
      </c>
      <c r="T48" s="35">
        <f t="shared" si="0"/>
        <v>245555.01027309624</v>
      </c>
    </row>
    <row r="49" spans="1:20" x14ac:dyDescent="0.2">
      <c r="A49" s="41" t="s">
        <v>26</v>
      </c>
      <c r="B49" s="41">
        <v>0</v>
      </c>
      <c r="C49" s="41">
        <v>0</v>
      </c>
      <c r="D49" s="35">
        <f>+'Head Start'!I49+'Early Intervention'!B50</f>
        <v>70190.849666266164</v>
      </c>
      <c r="E49" s="35">
        <f>+Medicaid!J49*'Low Income Pop'!G49</f>
        <v>438968.90017928346</v>
      </c>
      <c r="F49" s="35">
        <f>+CHIP!E49*'Low Income Pop'!G49</f>
        <v>62226.912760655214</v>
      </c>
      <c r="G49" s="35">
        <f>+'Mental Health'!H49*'Pop Data'!Z49</f>
        <v>20819.557175325877</v>
      </c>
      <c r="H49" s="35">
        <f>+Immunizations!E49*'Pop Data'!Z49</f>
        <v>11304.536485545881</v>
      </c>
      <c r="I49" s="35">
        <f>+MCHBG!I49*'Pop Data'!Z49+Prenatal!I49</f>
        <v>4520.6162379787766</v>
      </c>
      <c r="J49" s="35">
        <f>+'Title IV-E'!T49</f>
        <v>15352.415455992958</v>
      </c>
      <c r="K49" s="35">
        <f>+'CW - State and Local Share'!D49*'Pop Data'!Z49</f>
        <v>81044.767055861987</v>
      </c>
      <c r="L49" s="35">
        <f>+'Child Care &amp; Dev Fd'!G49*'Child Care &amp; Dev Fd'!T49</f>
        <v>51313.470000000008</v>
      </c>
      <c r="M49" s="35">
        <f>+'Title IV-B'!F49</f>
        <v>2731.6527263520316</v>
      </c>
      <c r="N49" s="35">
        <f>+'Title IV-D'!E49*'Pop Data'!Z49</f>
        <v>26495.779744788844</v>
      </c>
      <c r="O49" s="35">
        <f>+'Title XX'!D49*0.001</f>
        <v>7492.5775216008797</v>
      </c>
      <c r="P49" s="35">
        <f>+TANF!E49*TANF!V49</f>
        <v>64314.859273963768</v>
      </c>
      <c r="Q49" s="35">
        <f>+Nutrition!AH49+Prenatal!Q49</f>
        <v>363468.48299912858</v>
      </c>
      <c r="R49" s="41">
        <v>0</v>
      </c>
      <c r="S49" s="35">
        <f>+(+'Tax Credits'!O49*'Low Income Pop'!G49)+('Tax Credits'!P49*'Pop Data'!Z49)</f>
        <v>602302.88049697247</v>
      </c>
      <c r="T49" s="35">
        <f t="shared" si="0"/>
        <v>1822548.257779717</v>
      </c>
    </row>
    <row r="50" spans="1:20" x14ac:dyDescent="0.2">
      <c r="A50" s="41" t="s">
        <v>27</v>
      </c>
      <c r="B50" s="41">
        <v>0</v>
      </c>
      <c r="C50" s="41">
        <v>0</v>
      </c>
      <c r="D50" s="35">
        <f>+'Head Start'!I50+'Early Intervention'!B51</f>
        <v>41646.412109321907</v>
      </c>
      <c r="E50" s="35">
        <f>+Medicaid!J50*'Low Income Pop'!G50</f>
        <v>487382.39030330715</v>
      </c>
      <c r="F50" s="35">
        <f>+CHIP!E50*'Low Income Pop'!G50</f>
        <v>15908.071250371295</v>
      </c>
      <c r="G50" s="35">
        <f>+'Mental Health'!H50*'Pop Data'!Z50</f>
        <v>26956.759503394434</v>
      </c>
      <c r="H50" s="35">
        <f>+Immunizations!E50*'Pop Data'!Z50</f>
        <v>18771.222225892401</v>
      </c>
      <c r="I50" s="35">
        <f>+MCHBG!I50*'Pop Data'!Z50+Prenatal!I50</f>
        <v>3096.7700042082897</v>
      </c>
      <c r="J50" s="35">
        <f>+'Title IV-E'!T50</f>
        <v>38194.214831563695</v>
      </c>
      <c r="K50" s="35">
        <f>+'CW - State and Local Share'!D50*'Pop Data'!Z50</f>
        <v>45990.492527604678</v>
      </c>
      <c r="L50" s="35">
        <f>+'Child Care &amp; Dev Fd'!G50*'Child Care &amp; Dev Fd'!T50</f>
        <v>67153.5</v>
      </c>
      <c r="M50" s="35">
        <f>+'Title IV-B'!F50</f>
        <v>2071.0148182459689</v>
      </c>
      <c r="N50" s="35">
        <f>+'Title IV-D'!E50*'Pop Data'!Z50</f>
        <v>38306.692765212152</v>
      </c>
      <c r="O50" s="35">
        <f>+'Title XX'!D50*0.001</f>
        <v>10216.434623812176</v>
      </c>
      <c r="P50" s="35">
        <f>+TANF!E50*TANF!V50</f>
        <v>266385.86083230836</v>
      </c>
      <c r="Q50" s="35">
        <f>+Nutrition!AH50+Prenatal!Q50</f>
        <v>379864.86296077317</v>
      </c>
      <c r="R50" s="41">
        <v>0</v>
      </c>
      <c r="S50" s="35">
        <f>+(+'Tax Credits'!O50*'Low Income Pop'!G50)+('Tax Credits'!P50*'Pop Data'!Z50)</f>
        <v>416504.04032599367</v>
      </c>
      <c r="T50" s="35">
        <f t="shared" si="0"/>
        <v>1858448.7390820095</v>
      </c>
    </row>
    <row r="51" spans="1:20" x14ac:dyDescent="0.2">
      <c r="A51" s="41" t="s">
        <v>28</v>
      </c>
      <c r="B51" s="41">
        <v>0</v>
      </c>
      <c r="C51" s="41">
        <v>0</v>
      </c>
      <c r="D51" s="35">
        <f>+'Head Start'!I51+'Early Intervention'!B52</f>
        <v>6928.2525889349054</v>
      </c>
      <c r="E51" s="35">
        <f>+Medicaid!J51*'Low Income Pop'!G51</f>
        <v>144780.53049616949</v>
      </c>
      <c r="F51" s="35">
        <f>+CHIP!E51*'Low Income Pop'!G51</f>
        <v>12888.133058360481</v>
      </c>
      <c r="G51" s="35">
        <f>+'Mental Health'!H51*'Pop Data'!Z51</f>
        <v>903.1854817014156</v>
      </c>
      <c r="H51" s="35">
        <f>+Immunizations!E51*'Pop Data'!Z51</f>
        <v>3445.4770717032816</v>
      </c>
      <c r="I51" s="35">
        <f>+MCHBG!I51*'Pop Data'!Z51+Prenatal!I51</f>
        <v>3056.6484794930748</v>
      </c>
      <c r="J51" s="35">
        <f>+'Title IV-E'!T51</f>
        <v>8770.7006937436381</v>
      </c>
      <c r="K51" s="35">
        <f>+'CW - State and Local Share'!D51*'Pop Data'!Z51</f>
        <v>21947.903489471173</v>
      </c>
      <c r="L51" s="35">
        <f>+'Child Care &amp; Dev Fd'!G51*'Child Care &amp; Dev Fd'!T51</f>
        <v>12311.080000000002</v>
      </c>
      <c r="M51" s="35">
        <f>+'Title IV-B'!F51</f>
        <v>771.05594419064983</v>
      </c>
      <c r="N51" s="35">
        <f>+'Title IV-D'!E51*'Pop Data'!Z51</f>
        <v>11294.979166286932</v>
      </c>
      <c r="O51" s="35">
        <f>+'Title XX'!D51*0.001</f>
        <v>3673.3535033878652</v>
      </c>
      <c r="P51" s="35">
        <f>+TANF!E51*TANF!V51</f>
        <v>30501.255580944398</v>
      </c>
      <c r="Q51" s="35">
        <f>+Nutrition!AH51+Prenatal!Q51</f>
        <v>106137.36879195368</v>
      </c>
      <c r="R51" s="41">
        <v>0</v>
      </c>
      <c r="S51" s="35">
        <f>+(+'Tax Credits'!O51*'Low Income Pop'!G51)+('Tax Credits'!P51*'Pop Data'!Z51)</f>
        <v>121467.35310255247</v>
      </c>
      <c r="T51" s="35">
        <f t="shared" si="0"/>
        <v>488877.27744889347</v>
      </c>
    </row>
    <row r="52" spans="1:20" x14ac:dyDescent="0.2">
      <c r="A52" s="41" t="s">
        <v>29</v>
      </c>
      <c r="B52" s="41">
        <v>0</v>
      </c>
      <c r="C52" s="41">
        <v>0</v>
      </c>
      <c r="D52" s="35">
        <f>+'Head Start'!I52+'Early Intervention'!B53</f>
        <v>17661.054810042777</v>
      </c>
      <c r="E52" s="35">
        <f>+Medicaid!J52*'Low Income Pop'!G52</f>
        <v>258905.95265625135</v>
      </c>
      <c r="F52" s="35">
        <f>+CHIP!E52*'Low Income Pop'!G52</f>
        <v>30004.496796360563</v>
      </c>
      <c r="G52" s="35">
        <f>+'Mental Health'!H52*'Pop Data'!Z52</f>
        <v>3266.8428225214325</v>
      </c>
      <c r="H52" s="35">
        <f>+Immunizations!E52*'Pop Data'!Z52</f>
        <v>8710.7366857069555</v>
      </c>
      <c r="I52" s="35">
        <f>+MCHBG!I52*'Pop Data'!Z52+Prenatal!I52</f>
        <v>3422.5205654601659</v>
      </c>
      <c r="J52" s="35">
        <f>+'Title IV-E'!T52</f>
        <v>22519.628508736245</v>
      </c>
      <c r="K52" s="35">
        <f>+'CW - State and Local Share'!D52*'Pop Data'!Z52</f>
        <v>45351.454312792535</v>
      </c>
      <c r="L52" s="35">
        <f>+'Child Care &amp; Dev Fd'!G52*'Child Care &amp; Dev Fd'!T52</f>
        <v>59018.11</v>
      </c>
      <c r="M52" s="35">
        <f>+'Title IV-B'!F52</f>
        <v>1592.8741188279578</v>
      </c>
      <c r="N52" s="35">
        <f>+'Title IV-D'!E52*'Pop Data'!Z52</f>
        <v>26675.395341529817</v>
      </c>
      <c r="O52" s="35">
        <f>+'Title XX'!D52*0.001</f>
        <v>5668.5261305624972</v>
      </c>
      <c r="P52" s="35">
        <f>+TANF!E52*TANF!V52</f>
        <v>120335.99698069025</v>
      </c>
      <c r="Q52" s="35">
        <f>+Nutrition!AH52+Prenatal!Q52</f>
        <v>250983.35579418542</v>
      </c>
      <c r="R52" s="41">
        <v>0</v>
      </c>
      <c r="S52" s="35">
        <f>+(+'Tax Credits'!O52*'Low Income Pop'!G52)+('Tax Credits'!P52*'Pop Data'!Z52)</f>
        <v>375396.54615725332</v>
      </c>
      <c r="T52" s="35">
        <f t="shared" si="0"/>
        <v>1229513.4916809213</v>
      </c>
    </row>
    <row r="53" spans="1:20" x14ac:dyDescent="0.2">
      <c r="A53" s="41" t="s">
        <v>30</v>
      </c>
      <c r="B53" s="41">
        <v>0</v>
      </c>
      <c r="C53" s="41">
        <v>0</v>
      </c>
      <c r="D53" s="35">
        <f>+'Head Start'!I53+'Early Intervention'!B54</f>
        <v>2966.5418361378206</v>
      </c>
      <c r="E53" s="35">
        <f>+Medicaid!J53*'Low Income Pop'!G53</f>
        <v>30854.187377307964</v>
      </c>
      <c r="F53" s="35">
        <f>+CHIP!E53*'Low Income Pop'!G53</f>
        <v>3520.6625244284496</v>
      </c>
      <c r="G53" s="35">
        <f>+'Mental Health'!H53*'Pop Data'!Z53</f>
        <v>247.56499929430927</v>
      </c>
      <c r="H53" s="35">
        <f>+Immunizations!E53*'Pop Data'!Z53</f>
        <v>1251.5442428961546</v>
      </c>
      <c r="I53" s="35">
        <f>+MCHBG!I53*'Pop Data'!Z53+Prenatal!I53</f>
        <v>569.55121529264147</v>
      </c>
      <c r="J53" s="35">
        <f>+'Title IV-E'!T53</f>
        <v>579.85302944866783</v>
      </c>
      <c r="K53" s="35">
        <f>+'CW - State and Local Share'!D53*'Pop Data'!Z53</f>
        <v>4422.7591777990992</v>
      </c>
      <c r="L53" s="35">
        <f>+'Child Care &amp; Dev Fd'!G53*'Child Care &amp; Dev Fd'!T53</f>
        <v>6303.68</v>
      </c>
      <c r="M53" s="35">
        <f>+'Title IV-B'!F53</f>
        <v>0</v>
      </c>
      <c r="N53" s="35">
        <f>+'Title IV-D'!E53*'Pop Data'!Z53</f>
        <v>2695.8101631116688</v>
      </c>
      <c r="O53" s="35">
        <f>+'Title XX'!D53*0.001</f>
        <v>939.57653271115134</v>
      </c>
      <c r="P53" s="35">
        <f>+TANF!E53*TANF!V53</f>
        <v>4923.7553218501798</v>
      </c>
      <c r="Q53" s="35">
        <f>+Nutrition!AH53+Prenatal!Q53</f>
        <v>15915.718866667143</v>
      </c>
      <c r="R53" s="41">
        <v>0</v>
      </c>
      <c r="S53" s="35">
        <f>+(+'Tax Credits'!O53*'Low Income Pop'!G53)+('Tax Credits'!P53*'Pop Data'!Z53)</f>
        <v>36583.67608287988</v>
      </c>
      <c r="T53" s="35">
        <f t="shared" si="0"/>
        <v>111774.88136982513</v>
      </c>
    </row>
    <row r="54" spans="1:20" ht="16" thickBot="1" x14ac:dyDescent="0.25"/>
    <row r="55" spans="1:20" ht="17" thickTop="1" thickBot="1" x14ac:dyDescent="0.25">
      <c r="A55" s="38" t="s">
        <v>39</v>
      </c>
      <c r="B55" s="80">
        <f>SUM(B4:B54)</f>
        <v>0</v>
      </c>
      <c r="C55" s="81">
        <f>SUM(C4:C54)</f>
        <v>0</v>
      </c>
      <c r="D55" s="81">
        <f t="shared" ref="D55:T55" si="1">SUM(D4:D54)</f>
        <v>3649454.7171923635</v>
      </c>
      <c r="E55" s="81">
        <f t="shared" si="1"/>
        <v>22776237.351612043</v>
      </c>
      <c r="F55" s="81">
        <f t="shared" si="1"/>
        <v>2616316.8244122127</v>
      </c>
      <c r="G55" s="81">
        <f t="shared" si="1"/>
        <v>1735941.0115243185</v>
      </c>
      <c r="H55" s="81">
        <f t="shared" si="1"/>
        <v>642451.6226726803</v>
      </c>
      <c r="I55" s="81">
        <f t="shared" si="1"/>
        <v>781752.87441582954</v>
      </c>
      <c r="J55" s="81">
        <f t="shared" si="1"/>
        <v>1417729.6229206121</v>
      </c>
      <c r="K55" s="81">
        <f t="shared" si="1"/>
        <v>2434551.6759820725</v>
      </c>
      <c r="L55" s="81">
        <f t="shared" si="1"/>
        <v>2571314.9400000013</v>
      </c>
      <c r="M55" s="81">
        <f t="shared" si="1"/>
        <v>110526.46785813253</v>
      </c>
      <c r="N55" s="81">
        <f t="shared" si="1"/>
        <v>1524722.6482861298</v>
      </c>
      <c r="O55" s="81">
        <f t="shared" si="1"/>
        <v>436451.33432418481</v>
      </c>
      <c r="P55" s="81">
        <f t="shared" si="1"/>
        <v>6286856.4615743086</v>
      </c>
      <c r="Q55" s="81">
        <f t="shared" si="1"/>
        <v>16704759.195096957</v>
      </c>
      <c r="R55" s="81">
        <f t="shared" si="1"/>
        <v>0</v>
      </c>
      <c r="S55" s="81">
        <f t="shared" si="1"/>
        <v>24289832.458934709</v>
      </c>
      <c r="T55" s="82">
        <f t="shared" si="1"/>
        <v>87978899.206806585</v>
      </c>
    </row>
    <row r="56" spans="1:20" ht="16" thickTop="1" x14ac:dyDescent="0.2"/>
  </sheetData>
  <printOptions horizontalCentered="1" verticalCentered="1"/>
  <pageMargins left="0.7" right="0.7" top="0.75" bottom="0.75" header="0.3" footer="0.3"/>
  <pageSetup paperSize="5" scale="55" orientation="landscape"/>
  <headerFooter>
    <oddHeader>&amp;C&amp;"-,Bold"&amp;18Public Spending for Children and their Families -- Ages 0 to 2 (including Prenatal)</oddHeader>
    <oddFooter>&amp;L&amp;D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tabColor rgb="FF00B050"/>
    <pageSetUpPr fitToPage="1"/>
  </sheetPr>
  <dimension ref="A1:T56"/>
  <sheetViews>
    <sheetView topLeftCell="C21" zoomScale="70" zoomScaleNormal="70" zoomScalePageLayoutView="70" workbookViewId="0">
      <selection activeCell="R18" sqref="R18"/>
    </sheetView>
  </sheetViews>
  <sheetFormatPr baseColWidth="10" defaultColWidth="8.83203125" defaultRowHeight="15" x14ac:dyDescent="0.2"/>
  <cols>
    <col min="1" max="1" width="14.5" customWidth="1"/>
    <col min="2" max="3" width="12.6640625" customWidth="1"/>
    <col min="4" max="4" width="12.6640625" style="4" customWidth="1"/>
    <col min="5" max="19" width="12.6640625" customWidth="1"/>
    <col min="20" max="20" width="14" customWidth="1"/>
    <col min="21" max="21" width="5.33203125" customWidth="1"/>
    <col min="22" max="22" width="12.6640625" customWidth="1"/>
  </cols>
  <sheetData>
    <row r="1" spans="1:20" s="119" customFormat="1" ht="120" customHeight="1" thickBot="1" x14ac:dyDescent="0.25">
      <c r="A1" s="115"/>
      <c r="B1" s="116" t="str">
        <f>+Summary!B1</f>
        <v>K-12 Educ</v>
      </c>
      <c r="C1" s="116" t="str">
        <f>+Summary!C1</f>
        <v>Preschool</v>
      </c>
      <c r="D1" s="116" t="str">
        <f>+Summary!D1</f>
        <v>Head Start &amp; Early Intervention</v>
      </c>
      <c r="E1" s="116" t="str">
        <f>+Summary!E1</f>
        <v>Medicaid (including costs of disabled children)</v>
      </c>
      <c r="F1" s="116" t="str">
        <f>+Summary!F1</f>
        <v>CHIP</v>
      </c>
      <c r="G1" s="116" t="str">
        <f>+Summary!G1</f>
        <v>Mental Health Programs</v>
      </c>
      <c r="H1" s="116" t="str">
        <f>+Summary!H1</f>
        <v>Immun-izations</v>
      </c>
      <c r="I1" s="116" t="str">
        <f>+Summary!I1</f>
        <v>Maternal &amp; Child Health Block Grant</v>
      </c>
      <c r="J1" s="116" t="str">
        <f>+Summary!J1</f>
        <v>Foster Care, Adoption Assistance, Guardianship (Title IV-E)</v>
      </c>
      <c r="K1" s="116" t="str">
        <f>+Summary!K1</f>
        <v xml:space="preserve">Child Welfare State and Local Share </v>
      </c>
      <c r="L1" s="116" t="str">
        <f>+Summary!L1</f>
        <v>Child Care &amp; Dev Fund</v>
      </c>
      <c r="M1" s="116" t="str">
        <f>+Summary!M1</f>
        <v>Child Welfare Services &amp; Promoting Safe and Stable Families           Title IV-B</v>
      </c>
      <c r="N1" s="116" t="str">
        <f>+Summary!N1</f>
        <v>Child Support Enforcement    Title IV-D</v>
      </c>
      <c r="O1" s="116" t="str">
        <f>+Summary!O1</f>
        <v>Child Welfare - TITLE XX</v>
      </c>
      <c r="P1" s="116" t="str">
        <f>+Summary!P1</f>
        <v>TANF</v>
      </c>
      <c r="Q1" s="116" t="str">
        <f>+Summary!Q1</f>
        <v>Nutrition (SNAP, WIC, CACFP)</v>
      </c>
      <c r="R1" s="116" t="str">
        <f>+Summary!R1</f>
        <v>Juvenile Justice</v>
      </c>
      <c r="S1" s="116" t="str">
        <f>+Summary!S1</f>
        <v>Tax Credits</v>
      </c>
      <c r="T1" s="116" t="str">
        <f>+Summary!T1</f>
        <v>Total</v>
      </c>
    </row>
    <row r="4" spans="1:20" x14ac:dyDescent="0.2">
      <c r="A4" s="41" t="s">
        <v>109</v>
      </c>
      <c r="B4" s="41">
        <v>0</v>
      </c>
      <c r="C4" s="35">
        <f>+PreSchool!B4</f>
        <v>19087</v>
      </c>
      <c r="D4" s="35">
        <f>+'Head Start'!J4</f>
        <v>107742.80133253374</v>
      </c>
      <c r="E4" s="35">
        <f>+Medicaid!J4*'Low Income Pop'!H4</f>
        <v>190903.48688404146</v>
      </c>
      <c r="F4" s="35">
        <f>+CHIP!E4*'Low Income Pop'!H4</f>
        <v>24875.024805523295</v>
      </c>
      <c r="G4" s="35">
        <f>+'Mental Health'!H4*'Pop Data'!AA4</f>
        <v>6934.9235010961447</v>
      </c>
      <c r="H4" s="35">
        <f>+Immunizations!E4*'Pop Data'!AA4</f>
        <v>7018.8948371175538</v>
      </c>
      <c r="I4" s="35">
        <f>+MCHBG!I4*'Pop Data'!AA4</f>
        <v>3905.3600824968917</v>
      </c>
      <c r="J4" s="35">
        <f>+'Title IV-E'!U4</f>
        <v>5747.4104347984621</v>
      </c>
      <c r="K4" s="35">
        <f>+'CW - State and Local Share'!D4*'Pop Data'!AA4</f>
        <v>15174.743557042562</v>
      </c>
      <c r="L4" s="35">
        <f>+'Child Care &amp; Dev Fd'!G4*'Child Care &amp; Dev Fd'!U4</f>
        <v>28001.43</v>
      </c>
      <c r="M4" s="35">
        <f>+'Title IV-B'!G4</f>
        <v>1311.8555988637556</v>
      </c>
      <c r="N4" s="35">
        <f>+'Title IV-D'!E4*'Pop Data'!AA4</f>
        <v>12228.210429328907</v>
      </c>
      <c r="O4" s="35">
        <f>+'Title XX'!E4*0.001</f>
        <v>2158.0343573968835</v>
      </c>
      <c r="P4" s="35">
        <f>+TANF!E4*TANF!W4</f>
        <v>27077.528980375355</v>
      </c>
      <c r="Q4" s="35">
        <f>+Nutrition!AI4</f>
        <v>148039.56614127557</v>
      </c>
      <c r="R4" s="41">
        <v>0</v>
      </c>
      <c r="S4" s="35">
        <f>+('Tax Credits'!O4*'Low Income Pop'!H4)+('Tax Credits'!P4*'Pop Data'!AA4)</f>
        <v>279993.92386450944</v>
      </c>
      <c r="T4" s="35">
        <f t="shared" ref="T4:T35" si="0">SUM(B4:S4)</f>
        <v>880200.19480639999</v>
      </c>
    </row>
    <row r="5" spans="1:20" x14ac:dyDescent="0.2">
      <c r="A5" s="41" t="s">
        <v>110</v>
      </c>
      <c r="B5" s="41">
        <v>0</v>
      </c>
      <c r="C5" s="35">
        <f>+PreSchool!B5</f>
        <v>1700</v>
      </c>
      <c r="D5" s="35">
        <f>+'Head Start'!J5</f>
        <v>11367.786044138929</v>
      </c>
      <c r="E5" s="35">
        <f>+Medicaid!J5*'Low Income Pop'!H5</f>
        <v>71642.388897316094</v>
      </c>
      <c r="F5" s="35">
        <f>+CHIP!E5*'Low Income Pop'!H5</f>
        <v>4828.6024355586251</v>
      </c>
      <c r="G5" s="35">
        <f>+'Mental Health'!H5*'Pop Data'!AA5</f>
        <v>12150.211782870876</v>
      </c>
      <c r="H5" s="35">
        <f>+Immunizations!E5*'Pop Data'!AA5</f>
        <v>1848.2574456707644</v>
      </c>
      <c r="I5" s="35">
        <f>+MCHBG!I5*'Pop Data'!AA5</f>
        <v>1761.9638769641901</v>
      </c>
      <c r="J5" s="35">
        <f>+'Title IV-E'!U5</f>
        <v>5267.8252357028323</v>
      </c>
      <c r="K5" s="35">
        <f>+'CW - State and Local Share'!D5*'Pop Data'!AA5</f>
        <v>12099.484323890967</v>
      </c>
      <c r="L5" s="35">
        <f>+'Child Care &amp; Dev Fd'!G5*'Child Care &amp; Dev Fd'!U5</f>
        <v>8517.01</v>
      </c>
      <c r="M5" s="35">
        <f>+'Title IV-B'!G5</f>
        <v>129.52734901122395</v>
      </c>
      <c r="N5" s="35">
        <f>+'Title IV-D'!E5*'Pop Data'!AA5</f>
        <v>5452.6709513629075</v>
      </c>
      <c r="O5" s="35">
        <f>+'Title XX'!E5*0.001</f>
        <v>4280.7981825656234</v>
      </c>
      <c r="P5" s="35">
        <f>+TANF!E5*TANF!W5</f>
        <v>9874.593719160106</v>
      </c>
      <c r="Q5" s="35">
        <f>+Nutrition!AI5</f>
        <v>24012.398449420834</v>
      </c>
      <c r="R5" s="41">
        <v>0</v>
      </c>
      <c r="S5" s="35">
        <f>+('Tax Credits'!O5*'Low Income Pop'!H5)+('Tax Credits'!P5*'Pop Data'!AA5)</f>
        <v>31745.768658915942</v>
      </c>
      <c r="T5" s="35">
        <f t="shared" si="0"/>
        <v>206679.28735254993</v>
      </c>
    </row>
    <row r="6" spans="1:20" x14ac:dyDescent="0.2">
      <c r="A6" s="41" t="s">
        <v>111</v>
      </c>
      <c r="B6" s="41">
        <v>0</v>
      </c>
      <c r="C6" s="35">
        <f>+PreSchool!B6</f>
        <v>9224</v>
      </c>
      <c r="D6" s="35">
        <f>+'Head Start'!J6</f>
        <v>100994.07527461351</v>
      </c>
      <c r="E6" s="35">
        <f>+Medicaid!J6*'Low Income Pop'!H6</f>
        <v>281037.53716198803</v>
      </c>
      <c r="F6" s="35">
        <f>+CHIP!E6*'Low Income Pop'!H6</f>
        <v>4782.7182503222566</v>
      </c>
      <c r="G6" s="35">
        <f>+'Mental Health'!H6*'Pop Data'!AA6</f>
        <v>48526.621851891614</v>
      </c>
      <c r="H6" s="35">
        <f>+Immunizations!E6*'Pop Data'!AA6</f>
        <v>10446.85056191028</v>
      </c>
      <c r="I6" s="35">
        <f>+MCHBG!I6*'Pop Data'!AA6</f>
        <v>1536.874492174072</v>
      </c>
      <c r="J6" s="35">
        <f>+'Title IV-E'!U6</f>
        <v>29966.269039578154</v>
      </c>
      <c r="K6" s="35">
        <f>+'CW - State and Local Share'!D6*'Pop Data'!AA6</f>
        <v>19732.32567644769</v>
      </c>
      <c r="L6" s="35">
        <f>+'Child Care &amp; Dev Fd'!G6*'Child Care &amp; Dev Fd'!U6</f>
        <v>49607.25</v>
      </c>
      <c r="M6" s="35">
        <f>+'Title IV-B'!G6</f>
        <v>1829.9082465059405</v>
      </c>
      <c r="N6" s="35">
        <f>+'Title IV-D'!E6*'Pop Data'!AA6</f>
        <v>11947.519276399322</v>
      </c>
      <c r="O6" s="35">
        <f>+'Title XX'!E6*0.001</f>
        <v>6197.8787789589132</v>
      </c>
      <c r="P6" s="35">
        <f>+TANF!E6*TANF!W6</f>
        <v>47329.919501655182</v>
      </c>
      <c r="Q6" s="35">
        <f>+Nutrition!AI6</f>
        <v>190797.87960521042</v>
      </c>
      <c r="R6" s="41">
        <v>0</v>
      </c>
      <c r="S6" s="35">
        <f>+('Tax Credits'!O6*'Low Income Pop'!H6)+('Tax Credits'!P6*'Pop Data'!AA6)</f>
        <v>364176.79388193542</v>
      </c>
      <c r="T6" s="35">
        <f t="shared" si="0"/>
        <v>1178134.4215995907</v>
      </c>
    </row>
    <row r="7" spans="1:20" x14ac:dyDescent="0.2">
      <c r="A7" s="41" t="s">
        <v>112</v>
      </c>
      <c r="B7" s="41">
        <v>0</v>
      </c>
      <c r="C7" s="35">
        <f>+PreSchool!B7</f>
        <v>111000</v>
      </c>
      <c r="D7" s="35">
        <f>+'Head Start'!J7</f>
        <v>62769.66503813702</v>
      </c>
      <c r="E7" s="35">
        <f>+Medicaid!J7*'Low Income Pop'!H7</f>
        <v>177713.84528422361</v>
      </c>
      <c r="F7" s="35">
        <f>+CHIP!E7*'Low Income Pop'!H7</f>
        <v>18247.640938596287</v>
      </c>
      <c r="G7" s="35">
        <f>+'Mental Health'!H7*'Pop Data'!AA7</f>
        <v>1821.5701663783691</v>
      </c>
      <c r="H7" s="35">
        <f>+Immunizations!E7*'Pop Data'!AA7</f>
        <v>4983.0071254401228</v>
      </c>
      <c r="I7" s="35">
        <f>+MCHBG!I7*'Pop Data'!AA7</f>
        <v>1424.0710758903388</v>
      </c>
      <c r="J7" s="35">
        <f>+'Title IV-E'!U7</f>
        <v>8461.7263376795854</v>
      </c>
      <c r="K7" s="35">
        <f>+'CW - State and Local Share'!D7*'Pop Data'!AA7</f>
        <v>6858.4408220222513</v>
      </c>
      <c r="L7" s="35">
        <f>+'Child Care &amp; Dev Fd'!G7*'Child Care &amp; Dev Fd'!U7</f>
        <v>15836.310000000001</v>
      </c>
      <c r="M7" s="35">
        <f>+'Title IV-B'!G7</f>
        <v>896.50879515136853</v>
      </c>
      <c r="N7" s="35">
        <f>+'Title IV-D'!E7*'Pop Data'!AA7</f>
        <v>9326.0380007342992</v>
      </c>
      <c r="O7" s="35">
        <f>+'Title XX'!E7*0.001</f>
        <v>914.47000190302481</v>
      </c>
      <c r="P7" s="35">
        <f>+TANF!E7*TANF!W7</f>
        <v>30915.065372107212</v>
      </c>
      <c r="Q7" s="35">
        <f>+Nutrition!AI7</f>
        <v>94338.156114469777</v>
      </c>
      <c r="R7" s="41">
        <v>0</v>
      </c>
      <c r="S7" s="35">
        <f>+('Tax Credits'!O7*'Low Income Pop'!H7)+('Tax Credits'!P7*'Pop Data'!AA7)</f>
        <v>175800.60200871367</v>
      </c>
      <c r="T7" s="35">
        <f t="shared" si="0"/>
        <v>721307.11708144692</v>
      </c>
    </row>
    <row r="8" spans="1:20" x14ac:dyDescent="0.2">
      <c r="A8" s="41" t="s">
        <v>113</v>
      </c>
      <c r="B8" s="41">
        <v>0</v>
      </c>
      <c r="C8" s="35">
        <f>+PreSchool!B8</f>
        <v>728223</v>
      </c>
      <c r="D8" s="35">
        <f>+'Head Start'!J8</f>
        <v>781564.80370768078</v>
      </c>
      <c r="E8" s="35">
        <f>+Medicaid!J8*'Low Income Pop'!H8</f>
        <v>1791378.5355201403</v>
      </c>
      <c r="F8" s="35">
        <f>+CHIP!E8*'Low Income Pop'!H8</f>
        <v>268402.76574955118</v>
      </c>
      <c r="G8" s="35">
        <f>+'Mental Health'!H8*'Pop Data'!AA8</f>
        <v>245592.30233433007</v>
      </c>
      <c r="H8" s="35">
        <f>+Immunizations!E8*'Pop Data'!AA8</f>
        <v>63325.47632487541</v>
      </c>
      <c r="I8" s="35">
        <f>+MCHBG!I8*'Pop Data'!AA8</f>
        <v>114609.16110799019</v>
      </c>
      <c r="J8" s="35">
        <f>+'Title IV-E'!U8</f>
        <v>208790.93572150441</v>
      </c>
      <c r="K8" s="35">
        <f>+'CW - State and Local Share'!D8*'Pop Data'!AA8</f>
        <v>197186.23398146732</v>
      </c>
      <c r="L8" s="35">
        <f>+'Child Care &amp; Dev Fd'!G8*'Child Care &amp; Dev Fd'!U8</f>
        <v>239340.36000000002</v>
      </c>
      <c r="M8" s="35">
        <f>+'Title IV-B'!G8</f>
        <v>7180.732279196196</v>
      </c>
      <c r="N8" s="35">
        <f>+'Title IV-D'!E8*'Pop Data'!AA8</f>
        <v>171385.61621905281</v>
      </c>
      <c r="O8" s="35">
        <f>+'Title XX'!E8*0.001</f>
        <v>72689.922634615403</v>
      </c>
      <c r="P8" s="35">
        <f>+TANF!E8*TANF!W8</f>
        <v>831143.24419220688</v>
      </c>
      <c r="Q8" s="35">
        <f>+Nutrition!AI8</f>
        <v>915691.52134962042</v>
      </c>
      <c r="R8" s="41">
        <v>0</v>
      </c>
      <c r="S8" s="35">
        <f>+('Tax Credits'!O8*'Low Income Pop'!H8)+('Tax Credits'!P8*'Pop Data'!AA8)</f>
        <v>1823779.5385459892</v>
      </c>
      <c r="T8" s="35">
        <f t="shared" si="0"/>
        <v>8460284.1496682204</v>
      </c>
    </row>
    <row r="9" spans="1:20" x14ac:dyDescent="0.2">
      <c r="A9" s="41" t="s">
        <v>115</v>
      </c>
      <c r="B9" s="41">
        <v>0</v>
      </c>
      <c r="C9" s="35">
        <f>+PreSchool!B9</f>
        <v>37255</v>
      </c>
      <c r="D9" s="35">
        <f>+'Head Start'!J9</f>
        <v>65780.133620085166</v>
      </c>
      <c r="E9" s="35">
        <f>+Medicaid!J9*'Low Income Pop'!H9</f>
        <v>192635.94070882918</v>
      </c>
      <c r="F9" s="35">
        <f>+CHIP!E9*'Low Income Pop'!H9</f>
        <v>28641.744126921985</v>
      </c>
      <c r="G9" s="35">
        <f>+'Mental Health'!H9*'Pop Data'!AA9</f>
        <v>16045.176812917121</v>
      </c>
      <c r="H9" s="35">
        <f>+Immunizations!E9*'Pop Data'!AA9</f>
        <v>5847.8115803503133</v>
      </c>
      <c r="I9" s="35">
        <f>+MCHBG!I9*'Pop Data'!AA9</f>
        <v>1343.4406630102701</v>
      </c>
      <c r="J9" s="35">
        <f>+'Title IV-E'!U9</f>
        <v>8069.2239675983747</v>
      </c>
      <c r="K9" s="35">
        <f>+'CW - State and Local Share'!D9*'Pop Data'!AA9</f>
        <v>30525.238848490855</v>
      </c>
      <c r="L9" s="35">
        <f>+'Child Care &amp; Dev Fd'!G9*'Child Care &amp; Dev Fd'!U9</f>
        <v>39248.86</v>
      </c>
      <c r="M9" s="35">
        <f>+'Title IV-B'!G9</f>
        <v>710.9024446245528</v>
      </c>
      <c r="N9" s="35">
        <f>+'Title IV-D'!E9*'Pop Data'!AA9</f>
        <v>14696.497359825493</v>
      </c>
      <c r="O9" s="35">
        <f>+'Title XX'!E9*0.001</f>
        <v>1735.5025360000002</v>
      </c>
      <c r="P9" s="35">
        <f>+TANF!E9*TANF!W9</f>
        <v>45383.167584399271</v>
      </c>
      <c r="Q9" s="35">
        <f>+Nutrition!AI9</f>
        <v>97524.538040529733</v>
      </c>
      <c r="R9" s="41">
        <v>0</v>
      </c>
      <c r="S9" s="35">
        <f>+('Tax Credits'!O9*'Low Income Pop'!H9)+('Tax Credits'!P9*'Pop Data'!AA9)</f>
        <v>225621.16812953039</v>
      </c>
      <c r="T9" s="35">
        <f t="shared" si="0"/>
        <v>811064.34642311279</v>
      </c>
    </row>
    <row r="10" spans="1:20" x14ac:dyDescent="0.2">
      <c r="A10" s="41" t="s">
        <v>114</v>
      </c>
      <c r="B10" s="41">
        <v>0</v>
      </c>
      <c r="C10" s="35">
        <f>+PreSchool!B10</f>
        <v>75432</v>
      </c>
      <c r="D10" s="35">
        <f>+'Head Start'!J10</f>
        <v>49861.598860708997</v>
      </c>
      <c r="E10" s="35">
        <f>+Medicaid!J10*'Low Income Pop'!H10</f>
        <v>189151.95806480077</v>
      </c>
      <c r="F10" s="35">
        <f>+CHIP!E10*'Low Income Pop'!H10</f>
        <v>3619.7755414813246</v>
      </c>
      <c r="G10" s="35">
        <f>+'Mental Health'!H10*'Pop Data'!AA10</f>
        <v>0</v>
      </c>
      <c r="H10" s="35">
        <f>+Immunizations!E10*'Pop Data'!AA10</f>
        <v>3995.9633171992473</v>
      </c>
      <c r="I10" s="35">
        <f>+MCHBG!I10*'Pop Data'!AA10</f>
        <v>1140.3280621265237</v>
      </c>
      <c r="J10" s="35">
        <f>+'Title IV-E'!U10</f>
        <v>11489.194353108407</v>
      </c>
      <c r="K10" s="35">
        <f>+'CW - State and Local Share'!D10*'Pop Data'!AA10</f>
        <v>34083.481081408041</v>
      </c>
      <c r="L10" s="35">
        <f>+'Child Care &amp; Dev Fd'!G10*'Child Care &amp; Dev Fd'!U10</f>
        <v>34235.950000000004</v>
      </c>
      <c r="M10" s="35">
        <f>+'Title IV-B'!G10</f>
        <v>403.57706572172424</v>
      </c>
      <c r="N10" s="35">
        <f>+'Title IV-D'!E10*'Pop Data'!AA10</f>
        <v>11906.503878733502</v>
      </c>
      <c r="O10" s="35">
        <f>+'Title XX'!E10*0.001</f>
        <v>6041.1702084362951</v>
      </c>
      <c r="P10" s="35">
        <f>+TANF!E10*TANF!W10</f>
        <v>67228.043030333123</v>
      </c>
      <c r="Q10" s="35">
        <f>+Nutrition!AI10</f>
        <v>87416.395759143779</v>
      </c>
      <c r="R10" s="41">
        <v>0</v>
      </c>
      <c r="S10" s="35">
        <f>+('Tax Credits'!O10*'Low Income Pop'!H10)+('Tax Credits'!P10*'Pop Data'!AA10)</f>
        <v>132288.23684352287</v>
      </c>
      <c r="T10" s="35">
        <f t="shared" si="0"/>
        <v>708294.1760667247</v>
      </c>
    </row>
    <row r="11" spans="1:20" x14ac:dyDescent="0.2">
      <c r="A11" s="41" t="s">
        <v>42</v>
      </c>
      <c r="B11" s="41">
        <v>0</v>
      </c>
      <c r="C11" s="35">
        <f>+PreSchool!B11</f>
        <v>5728</v>
      </c>
      <c r="D11" s="35">
        <f>+'Head Start'!J11</f>
        <v>12369.62872826087</v>
      </c>
      <c r="E11" s="35">
        <f>+Medicaid!J11*'Low Income Pop'!H11</f>
        <v>53957.915489513369</v>
      </c>
      <c r="F11" s="35">
        <f>+CHIP!E11*'Low Income Pop'!H11</f>
        <v>3429.6400937953708</v>
      </c>
      <c r="G11" s="35">
        <f>+'Mental Health'!H11*'Pop Data'!AA11</f>
        <v>0</v>
      </c>
      <c r="H11" s="35">
        <f>+Immunizations!E11*'Pop Data'!AA11</f>
        <v>1309.4632289685444</v>
      </c>
      <c r="I11" s="35">
        <f>+MCHBG!I11*'Pop Data'!AA11</f>
        <v>1031.5674381858082</v>
      </c>
      <c r="J11" s="35">
        <f>+'Title IV-E'!U11</f>
        <v>728.67871397220199</v>
      </c>
      <c r="K11" s="35">
        <f>+'CW - State and Local Share'!D11*'Pop Data'!AA11</f>
        <v>5257.4001463057793</v>
      </c>
      <c r="L11" s="35">
        <f>+'Child Care &amp; Dev Fd'!G11*'Child Care &amp; Dev Fd'!U11</f>
        <v>7493.63</v>
      </c>
      <c r="M11" s="35">
        <f>+'Title IV-B'!G11</f>
        <v>171.13523774689099</v>
      </c>
      <c r="N11" s="35">
        <f>+'Title IV-D'!E11*'Pop Data'!AA11</f>
        <v>8616.8215069495254</v>
      </c>
      <c r="O11" s="35">
        <f>+'Title XX'!E11*0.001</f>
        <v>797.16768805642175</v>
      </c>
      <c r="P11" s="35">
        <f>+TANF!E11*TANF!W11</f>
        <v>12434.855091871692</v>
      </c>
      <c r="Q11" s="35">
        <f>+Nutrition!AI11</f>
        <v>25728.307576185354</v>
      </c>
      <c r="R11" s="41">
        <v>0</v>
      </c>
      <c r="S11" s="35">
        <f>+('Tax Credits'!O11*'Low Income Pop'!H11)+('Tax Credits'!P11*'Pop Data'!AA11)</f>
        <v>45052.333731886501</v>
      </c>
      <c r="T11" s="35">
        <f t="shared" si="0"/>
        <v>184106.54467169833</v>
      </c>
    </row>
    <row r="12" spans="1:20" x14ac:dyDescent="0.2">
      <c r="A12" s="41" t="s">
        <v>116</v>
      </c>
      <c r="B12" s="41">
        <v>0</v>
      </c>
      <c r="C12" s="35">
        <f>+PreSchool!B12</f>
        <v>399464</v>
      </c>
      <c r="D12" s="35">
        <f>+'Head Start'!J12</f>
        <v>253958.5040871161</v>
      </c>
      <c r="E12" s="35">
        <f>+Medicaid!J12*'Low Income Pop'!H12</f>
        <v>622255.62267612386</v>
      </c>
      <c r="F12" s="35">
        <f>+CHIP!E12*'Low Income Pop'!H12</f>
        <v>73273.678206058568</v>
      </c>
      <c r="G12" s="35">
        <f>+'Mental Health'!H12*'Pop Data'!AA12</f>
        <v>9879.782757509136</v>
      </c>
      <c r="H12" s="35">
        <f>+Immunizations!E12*'Pop Data'!AA12</f>
        <v>23849.034760161449</v>
      </c>
      <c r="I12" s="35">
        <f>+MCHBG!I12*'Pop Data'!AA12</f>
        <v>15602.252135923725</v>
      </c>
      <c r="J12" s="35">
        <f>+'Title IV-E'!U12</f>
        <v>35237.446953588777</v>
      </c>
      <c r="K12" s="35">
        <f>+'CW - State and Local Share'!D12*'Pop Data'!AA12</f>
        <v>54971.619250314805</v>
      </c>
      <c r="L12" s="35">
        <f>+'Child Care &amp; Dev Fd'!G12*'Child Care &amp; Dev Fd'!U12</f>
        <v>148881.60000000001</v>
      </c>
      <c r="M12" s="35">
        <f>+'Title IV-B'!G12</f>
        <v>3801.8374236233121</v>
      </c>
      <c r="N12" s="35">
        <f>+'Title IV-D'!E12*'Pop Data'!AA12</f>
        <v>49677.537164957728</v>
      </c>
      <c r="O12" s="35">
        <f>+'Title XX'!E12*0.001</f>
        <v>20913.686455414801</v>
      </c>
      <c r="P12" s="35">
        <f>+TANF!E12*TANF!W12</f>
        <v>112591.00880620163</v>
      </c>
      <c r="Q12" s="35">
        <f>+Nutrition!AI12</f>
        <v>569211.85214129451</v>
      </c>
      <c r="R12" s="41">
        <v>0</v>
      </c>
      <c r="S12" s="35">
        <f>+('Tax Credits'!O12*'Low Income Pop'!H12)+('Tax Credits'!P12*'Pop Data'!AA12)</f>
        <v>1101512.5694829775</v>
      </c>
      <c r="T12" s="35">
        <f t="shared" si="0"/>
        <v>3495082.0323012662</v>
      </c>
    </row>
    <row r="13" spans="1:20" x14ac:dyDescent="0.2">
      <c r="A13" s="41" t="s">
        <v>117</v>
      </c>
      <c r="B13" s="41">
        <v>0</v>
      </c>
      <c r="C13" s="35">
        <f>+PreSchool!B13</f>
        <v>289223</v>
      </c>
      <c r="D13" s="35">
        <f>+'Head Start'!J13</f>
        <v>174660.76754321074</v>
      </c>
      <c r="E13" s="35">
        <f>+Medicaid!J13*'Low Income Pop'!H13</f>
        <v>455564.54610581324</v>
      </c>
      <c r="F13" s="35">
        <f>+CHIP!E13*'Low Income Pop'!H13</f>
        <v>55807.21402900268</v>
      </c>
      <c r="G13" s="35">
        <f>+'Mental Health'!H13*'Pop Data'!AA13</f>
        <v>11662.146791827719</v>
      </c>
      <c r="H13" s="35">
        <f>+Immunizations!E13*'Pop Data'!AA13</f>
        <v>16718.010248311228</v>
      </c>
      <c r="I13" s="35">
        <f>+MCHBG!I13*'Pop Data'!AA13</f>
        <v>12465.472508748757</v>
      </c>
      <c r="J13" s="35">
        <f>+'Title IV-E'!U13</f>
        <v>17262.652397771199</v>
      </c>
      <c r="K13" s="35">
        <f>+'CW - State and Local Share'!D13*'Pop Data'!AA13</f>
        <v>22427.392848150193</v>
      </c>
      <c r="L13" s="35">
        <f>+'Child Care &amp; Dev Fd'!G13*'Child Care &amp; Dev Fd'!U13</f>
        <v>48192.57</v>
      </c>
      <c r="M13" s="35">
        <f>+'Title IV-B'!G13</f>
        <v>2701.651439452693</v>
      </c>
      <c r="N13" s="35">
        <f>+'Title IV-D'!E13*'Pop Data'!AA13</f>
        <v>19382.29520526078</v>
      </c>
      <c r="O13" s="35">
        <f>+'Title XX'!E13*0.001</f>
        <v>1460.4547495576212</v>
      </c>
      <c r="P13" s="35">
        <f>+TANF!E13*TANF!W13</f>
        <v>65246.778816740698</v>
      </c>
      <c r="Q13" s="35">
        <f>+Nutrition!AI13</f>
        <v>389961.55436348682</v>
      </c>
      <c r="R13" s="41">
        <v>0</v>
      </c>
      <c r="S13" s="35">
        <f>+('Tax Credits'!O13*'Low Income Pop'!H13)+('Tax Credits'!P13*'Pop Data'!AA13)</f>
        <v>693545.56690105842</v>
      </c>
      <c r="T13" s="35">
        <f t="shared" si="0"/>
        <v>2276282.0739483931</v>
      </c>
    </row>
    <row r="14" spans="1:20" x14ac:dyDescent="0.2">
      <c r="A14" s="41" t="s">
        <v>118</v>
      </c>
      <c r="B14" s="41">
        <v>0</v>
      </c>
      <c r="C14" s="35">
        <f>+PreSchool!B14</f>
        <v>0</v>
      </c>
      <c r="D14" s="35">
        <f>+'Head Start'!J14</f>
        <v>20613.5210319539</v>
      </c>
      <c r="E14" s="35">
        <f>+Medicaid!J14*'Low Income Pop'!H14</f>
        <v>47593.831494519873</v>
      </c>
      <c r="F14" s="35">
        <f>+CHIP!E14*'Low Income Pop'!H14</f>
        <v>6819.8084896480568</v>
      </c>
      <c r="G14" s="35">
        <f>+'Mental Health'!H14*'Pop Data'!AA14</f>
        <v>3823.4224359546561</v>
      </c>
      <c r="H14" s="35">
        <f>+Immunizations!E14*'Pop Data'!AA14</f>
        <v>2044.6778347188717</v>
      </c>
      <c r="I14" s="35">
        <f>+MCHBG!I14*'Pop Data'!AA14</f>
        <v>2700.7201036001998</v>
      </c>
      <c r="J14" s="35">
        <f>+'Title IV-E'!U14</f>
        <v>0</v>
      </c>
      <c r="K14" s="35">
        <f>+'CW - State and Local Share'!D14*'Pop Data'!AA14</f>
        <v>0</v>
      </c>
      <c r="L14" s="35">
        <f>+'Child Care &amp; Dev Fd'!G14*'Child Care &amp; Dev Fd'!U14</f>
        <v>14437.94</v>
      </c>
      <c r="M14" s="35">
        <f>+'Title IV-B'!G14</f>
        <v>273.76981070019588</v>
      </c>
      <c r="N14" s="35">
        <f>+'Title IV-D'!E14*'Pop Data'!AA14</f>
        <v>3789.1453973618122</v>
      </c>
      <c r="O14" s="35">
        <f>+'Title XX'!E14*0.001</f>
        <v>1864.5731658132704</v>
      </c>
      <c r="P14" s="35">
        <f>+TANF!E14*TANF!W14</f>
        <v>36636.242189709963</v>
      </c>
      <c r="Q14" s="35">
        <f>+Nutrition!AI14</f>
        <v>51087.995299931055</v>
      </c>
      <c r="R14" s="41">
        <v>0</v>
      </c>
      <c r="S14" s="35">
        <f>+('Tax Credits'!O14*'Low Income Pop'!H14)+('Tax Credits'!P14*'Pop Data'!AA14)</f>
        <v>72120.282715372974</v>
      </c>
      <c r="T14" s="35">
        <f t="shared" si="0"/>
        <v>263805.9299692848</v>
      </c>
    </row>
    <row r="15" spans="1:20" x14ac:dyDescent="0.2">
      <c r="A15" s="41" t="s">
        <v>119</v>
      </c>
      <c r="B15" s="41">
        <v>0</v>
      </c>
      <c r="C15" s="35">
        <f>+PreSchool!B15</f>
        <v>0</v>
      </c>
      <c r="D15" s="35">
        <f>+'Head Start'!J15</f>
        <v>20168.344059785904</v>
      </c>
      <c r="E15" s="35">
        <f>+Medicaid!J15*'Low Income Pop'!H15</f>
        <v>64877.559815974077</v>
      </c>
      <c r="F15" s="35">
        <f>+CHIP!E15*'Low Income Pop'!H15</f>
        <v>6888.7258563682472</v>
      </c>
      <c r="G15" s="35">
        <f>+'Mental Health'!H15*'Pop Data'!AA15</f>
        <v>1235.7220364425357</v>
      </c>
      <c r="H15" s="35">
        <f>+Immunizations!E15*'Pop Data'!AA15</f>
        <v>2621.2779172291225</v>
      </c>
      <c r="I15" s="35">
        <f>+MCHBG!I15*'Pop Data'!AA15</f>
        <v>526.72412132235968</v>
      </c>
      <c r="J15" s="35">
        <f>+'Title IV-E'!U15</f>
        <v>2849.3339452541368</v>
      </c>
      <c r="K15" s="35">
        <f>+'CW - State and Local Share'!D15*'Pop Data'!AA15</f>
        <v>1995.2855430126194</v>
      </c>
      <c r="L15" s="35">
        <f>+'Child Care &amp; Dev Fd'!G15*'Child Care &amp; Dev Fd'!U15</f>
        <v>6254.0800000000008</v>
      </c>
      <c r="M15" s="35">
        <f>+'Title IV-B'!G15</f>
        <v>371.92197394474334</v>
      </c>
      <c r="N15" s="35">
        <f>+'Title IV-D'!E15*'Pop Data'!AA15</f>
        <v>4271.9293827722076</v>
      </c>
      <c r="O15" s="35">
        <f>+'Title XX'!E15*0.001</f>
        <v>1422.4831432383987</v>
      </c>
      <c r="P15" s="35">
        <f>+TANF!E15*TANF!W15</f>
        <v>3774.4829355938714</v>
      </c>
      <c r="Q15" s="35">
        <f>+Nutrition!AI15</f>
        <v>42269.074517811219</v>
      </c>
      <c r="R15" s="41">
        <v>0</v>
      </c>
      <c r="S15" s="35">
        <f>+('Tax Credits'!O15*'Low Income Pop'!H15)+('Tax Credits'!P15*'Pop Data'!AA15)</f>
        <v>86529.077595670067</v>
      </c>
      <c r="T15" s="35">
        <f t="shared" si="0"/>
        <v>246056.02284441949</v>
      </c>
    </row>
    <row r="16" spans="1:20" x14ac:dyDescent="0.2">
      <c r="A16" s="41" t="s">
        <v>120</v>
      </c>
      <c r="B16" s="41">
        <v>0</v>
      </c>
      <c r="C16" s="35">
        <f>+PreSchool!B16</f>
        <v>259771</v>
      </c>
      <c r="D16" s="35">
        <f>+'Head Start'!J16</f>
        <v>257400.78379931516</v>
      </c>
      <c r="E16" s="35">
        <f>+Medicaid!J16*'Low Income Pop'!H16</f>
        <v>574746.33954301442</v>
      </c>
      <c r="F16" s="35">
        <f>+CHIP!E16*'Low Income Pop'!H16</f>
        <v>59275.168083535667</v>
      </c>
      <c r="G16" s="35">
        <f>+'Mental Health'!H16*'Pop Data'!AA16</f>
        <v>25771.485960300615</v>
      </c>
      <c r="H16" s="35">
        <f>+Immunizations!E16*'Pop Data'!AA16</f>
        <v>17119.904801155983</v>
      </c>
      <c r="I16" s="35">
        <f>+MCHBG!I16*'Pop Data'!AA16</f>
        <v>4992.4895603885698</v>
      </c>
      <c r="J16" s="35">
        <f>+'Title IV-E'!U16</f>
        <v>49853.382204308662</v>
      </c>
      <c r="K16" s="35">
        <f>+'CW - State and Local Share'!D16*'Pop Data'!AA16</f>
        <v>56368.804710735581</v>
      </c>
      <c r="L16" s="35">
        <f>+'Child Care &amp; Dev Fd'!G16*'Child Care &amp; Dev Fd'!U16</f>
        <v>80722.080000000002</v>
      </c>
      <c r="M16" s="35">
        <f>+'Title IV-B'!G16</f>
        <v>3214.9523014859783</v>
      </c>
      <c r="N16" s="35">
        <f>+'Title IV-D'!E16*'Pop Data'!AA16</f>
        <v>36206.440305933458</v>
      </c>
      <c r="O16" s="35">
        <f>+'Title XX'!E16*0.001</f>
        <v>2103.2657819108258</v>
      </c>
      <c r="P16" s="35">
        <f>+TANF!E16*TANF!W16</f>
        <v>182252.16132782373</v>
      </c>
      <c r="Q16" s="35">
        <f>+Nutrition!AI16</f>
        <v>343260.26020024659</v>
      </c>
      <c r="R16" s="41">
        <v>0</v>
      </c>
      <c r="S16" s="35">
        <f>+('Tax Credits'!O16*'Low Income Pop'!H16)+('Tax Credits'!P16*'Pop Data'!AA16)</f>
        <v>633190.23788215127</v>
      </c>
      <c r="T16" s="35">
        <f t="shared" si="0"/>
        <v>2586248.7564623062</v>
      </c>
    </row>
    <row r="17" spans="1:20" x14ac:dyDescent="0.2">
      <c r="A17" s="41" t="s">
        <v>121</v>
      </c>
      <c r="B17" s="41">
        <v>0</v>
      </c>
      <c r="C17" s="35">
        <f>+PreSchool!B17</f>
        <v>0</v>
      </c>
      <c r="D17" s="35">
        <f>+'Head Start'!J17</f>
        <v>86703.072696665637</v>
      </c>
      <c r="E17" s="35">
        <f>+Medicaid!J17*'Low Income Pop'!H17</f>
        <v>302159.32147334493</v>
      </c>
      <c r="F17" s="35">
        <f>+CHIP!E17*'Low Income Pop'!H17</f>
        <v>28868.405304415366</v>
      </c>
      <c r="G17" s="35">
        <f>+'Mental Health'!H17*'Pop Data'!AA17</f>
        <v>11760.008375841649</v>
      </c>
      <c r="H17" s="35">
        <f>+Immunizations!E17*'Pop Data'!AA17</f>
        <v>8166.6655896378015</v>
      </c>
      <c r="I17" s="35">
        <f>+MCHBG!I17*'Pop Data'!AA17</f>
        <v>2610.3330979209877</v>
      </c>
      <c r="J17" s="35">
        <f>+'Title IV-E'!U17</f>
        <v>24343.11850684867</v>
      </c>
      <c r="K17" s="35">
        <f>+'CW - State and Local Share'!D17*'Pop Data'!AA17</f>
        <v>44971.223134233165</v>
      </c>
      <c r="L17" s="35">
        <f>+'Child Care &amp; Dev Fd'!G17*'Child Care &amp; Dev Fd'!U17</f>
        <v>46732.140000000007</v>
      </c>
      <c r="M17" s="35">
        <f>+'Title IV-B'!G17</f>
        <v>1537.3778843866753</v>
      </c>
      <c r="N17" s="35">
        <f>+'Title IV-D'!E17*'Pop Data'!AA17</f>
        <v>18523.635063529036</v>
      </c>
      <c r="O17" s="35">
        <f>+'Title XX'!E17*0.001</f>
        <v>2138.1427238825108</v>
      </c>
      <c r="P17" s="35">
        <f>+TANF!E17*TANF!W17</f>
        <v>31791.718949721246</v>
      </c>
      <c r="Q17" s="35">
        <f>+Nutrition!AI17</f>
        <v>177558.05603060854</v>
      </c>
      <c r="R17" s="41">
        <v>0</v>
      </c>
      <c r="S17" s="35">
        <f>+('Tax Credits'!O17*'Low Income Pop'!H17)+('Tax Credits'!P17*'Pop Data'!AA17)</f>
        <v>359838.76211021445</v>
      </c>
      <c r="T17" s="35">
        <f t="shared" si="0"/>
        <v>1147701.9809412507</v>
      </c>
    </row>
    <row r="18" spans="1:20" x14ac:dyDescent="0.2">
      <c r="A18" s="41" t="s">
        <v>122</v>
      </c>
      <c r="B18" s="41">
        <v>0</v>
      </c>
      <c r="C18" s="35">
        <f>+PreSchool!B18</f>
        <v>78490</v>
      </c>
      <c r="D18" s="35">
        <f>+'Head Start'!J18</f>
        <v>46140.844700826456</v>
      </c>
      <c r="E18" s="35">
        <f>+Medicaid!J18*'Low Income Pop'!H18</f>
        <v>130960.52177871596</v>
      </c>
      <c r="F18" s="35">
        <f>+CHIP!E18*'Low Income Pop'!H18</f>
        <v>20374.507344015637</v>
      </c>
      <c r="G18" s="35">
        <f>+'Mental Health'!H18*'Pop Data'!AA18</f>
        <v>17561.535800183574</v>
      </c>
      <c r="H18" s="35">
        <f>+Immunizations!E18*'Pop Data'!AA18</f>
        <v>3419.7445468488272</v>
      </c>
      <c r="I18" s="35">
        <f>+MCHBG!I18*'Pop Data'!AA18</f>
        <v>1087.0697374933086</v>
      </c>
      <c r="J18" s="35">
        <f>+'Title IV-E'!U18</f>
        <v>10055.828521126547</v>
      </c>
      <c r="K18" s="35">
        <f>+'CW - State and Local Share'!D18*'Pop Data'!AA18</f>
        <v>15541.892662455235</v>
      </c>
      <c r="L18" s="35">
        <f>+'Child Care &amp; Dev Fd'!G18*'Child Care &amp; Dev Fd'!U18</f>
        <v>21735.22</v>
      </c>
      <c r="M18" s="35">
        <f>+'Title IV-B'!G18</f>
        <v>668.35324431730328</v>
      </c>
      <c r="N18" s="35">
        <f>+'Title IV-D'!E18*'Pop Data'!AA18</f>
        <v>10527.996522595522</v>
      </c>
      <c r="O18" s="35">
        <f>+'Title XX'!E18*0.001</f>
        <v>4585.773945410232</v>
      </c>
      <c r="P18" s="35">
        <f>+TANF!E18*TANF!W18</f>
        <v>31550.51227023621</v>
      </c>
      <c r="Q18" s="35">
        <f>+Nutrition!AI18</f>
        <v>75192.305817859582</v>
      </c>
      <c r="R18" s="41">
        <v>0</v>
      </c>
      <c r="S18" s="35">
        <f>+('Tax Credits'!O18*'Low Income Pop'!H18)+('Tax Credits'!P18*'Pop Data'!AA18)</f>
        <v>145663.8175261913</v>
      </c>
      <c r="T18" s="35">
        <f t="shared" si="0"/>
        <v>613555.92441827559</v>
      </c>
    </row>
    <row r="19" spans="1:20" x14ac:dyDescent="0.2">
      <c r="A19" s="41" t="s">
        <v>123</v>
      </c>
      <c r="B19" s="41">
        <v>0</v>
      </c>
      <c r="C19" s="35">
        <f>+PreSchool!B19</f>
        <v>18243</v>
      </c>
      <c r="D19" s="35">
        <f>+'Head Start'!J19</f>
        <v>42072.73528064516</v>
      </c>
      <c r="E19" s="35">
        <f>+Medicaid!J19*'Low Income Pop'!H19</f>
        <v>110360.42948747658</v>
      </c>
      <c r="F19" s="35">
        <f>+CHIP!E19*'Low Income Pop'!H19</f>
        <v>11892.580580992388</v>
      </c>
      <c r="G19" s="35">
        <f>+'Mental Health'!H19*'Pop Data'!AA19</f>
        <v>17461.57133985445</v>
      </c>
      <c r="H19" s="35">
        <f>+Immunizations!E19*'Pop Data'!AA19</f>
        <v>3339.5120149274339</v>
      </c>
      <c r="I19" s="35">
        <f>+MCHBG!I19*'Pop Data'!AA19</f>
        <v>857.57157743157575</v>
      </c>
      <c r="J19" s="35">
        <f>+'Title IV-E'!U19</f>
        <v>5914.4835927234981</v>
      </c>
      <c r="K19" s="35">
        <f>+'CW - State and Local Share'!D19*'Pop Data'!AA19</f>
        <v>17080.879647219954</v>
      </c>
      <c r="L19" s="35">
        <f>+'Child Care &amp; Dev Fd'!G19*'Child Care &amp; Dev Fd'!U19</f>
        <v>23258.880000000001</v>
      </c>
      <c r="M19" s="35">
        <f>+'Title IV-B'!G19</f>
        <v>560.60442890561933</v>
      </c>
      <c r="N19" s="35">
        <f>+'Title IV-D'!E19*'Pop Data'!AA19</f>
        <v>10600.40624378714</v>
      </c>
      <c r="O19" s="35">
        <f>+'Title XX'!E19*0.001</f>
        <v>2625.0637350000002</v>
      </c>
      <c r="P19" s="35">
        <f>+TANF!E19*TANF!W19</f>
        <v>25266.952259156169</v>
      </c>
      <c r="Q19" s="35">
        <f>+Nutrition!AI19</f>
        <v>61294.91797856363</v>
      </c>
      <c r="R19" s="41">
        <v>0</v>
      </c>
      <c r="S19" s="35">
        <f>+('Tax Credits'!O19*'Low Income Pop'!H19)+('Tax Credits'!P19*'Pop Data'!AA19)</f>
        <v>155844.08574960881</v>
      </c>
      <c r="T19" s="35">
        <f t="shared" si="0"/>
        <v>506673.67391629238</v>
      </c>
    </row>
    <row r="20" spans="1:20" x14ac:dyDescent="0.2">
      <c r="A20" s="41" t="s">
        <v>124</v>
      </c>
      <c r="B20" s="41">
        <v>0</v>
      </c>
      <c r="C20" s="35">
        <f>+PreSchool!B20</f>
        <v>74765</v>
      </c>
      <c r="D20" s="35">
        <f>+'Head Start'!J20</f>
        <v>107078.81003025145</v>
      </c>
      <c r="E20" s="35">
        <f>+Medicaid!J20*'Low Income Pop'!H20</f>
        <v>247241.22446538098</v>
      </c>
      <c r="F20" s="35">
        <f>+CHIP!E20*'Low Income Pop'!H20</f>
        <v>27501.450745133032</v>
      </c>
      <c r="G20" s="35">
        <f>+'Mental Health'!H20*'Pop Data'!AA20</f>
        <v>6275.8878391231729</v>
      </c>
      <c r="H20" s="35">
        <f>+Immunizations!E20*'Pop Data'!AA20</f>
        <v>5580.2791489691017</v>
      </c>
      <c r="I20" s="35">
        <f>+MCHBG!I20*'Pop Data'!AA20</f>
        <v>4653.3833412149224</v>
      </c>
      <c r="J20" s="35">
        <f>+'Title IV-E'!U20</f>
        <v>13384.342382853516</v>
      </c>
      <c r="K20" s="35">
        <f>+'CW - State and Local Share'!D20*'Pop Data'!AA20</f>
        <v>34885.432238828253</v>
      </c>
      <c r="L20" s="35">
        <f>+'Child Care &amp; Dev Fd'!G20*'Child Care &amp; Dev Fd'!U20</f>
        <v>39034.980000000003</v>
      </c>
      <c r="M20" s="35">
        <f>+'Title IV-B'!G20</f>
        <v>1403.2082610442092</v>
      </c>
      <c r="N20" s="35">
        <f>+'Title IV-D'!E20*'Pop Data'!AA20</f>
        <v>12686.153973825372</v>
      </c>
      <c r="O20" s="35">
        <f>+'Title XX'!E20*0.001</f>
        <v>3722.2131258170571</v>
      </c>
      <c r="P20" s="35">
        <f>+TANF!E20*TANF!W20</f>
        <v>40159.40837818414</v>
      </c>
      <c r="Q20" s="35">
        <f>+Nutrition!AI20</f>
        <v>150042.63078271734</v>
      </c>
      <c r="R20" s="41">
        <v>0</v>
      </c>
      <c r="S20" s="35">
        <f>+('Tax Credits'!O20*'Low Income Pop'!H20)+('Tax Credits'!P20*'Pop Data'!AA20)</f>
        <v>235097.22122227881</v>
      </c>
      <c r="T20" s="35">
        <f t="shared" si="0"/>
        <v>1003511.6259356214</v>
      </c>
    </row>
    <row r="21" spans="1:20" x14ac:dyDescent="0.2">
      <c r="A21" s="41" t="s">
        <v>125</v>
      </c>
      <c r="B21" s="41">
        <v>0</v>
      </c>
      <c r="C21" s="35">
        <f>+PreSchool!B21</f>
        <v>91066</v>
      </c>
      <c r="D21" s="35">
        <f>+'Head Start'!J21</f>
        <v>152320.47030278886</v>
      </c>
      <c r="E21" s="35">
        <f>+Medicaid!J21*'Low Income Pop'!H21</f>
        <v>294158.42933094513</v>
      </c>
      <c r="F21" s="35">
        <f>+CHIP!E21*'Low Income Pop'!H21</f>
        <v>32876.73527002996</v>
      </c>
      <c r="G21" s="35">
        <f>+'Mental Health'!H21*'Pop Data'!AA21</f>
        <v>5172.5779833381339</v>
      </c>
      <c r="H21" s="35">
        <f>+Immunizations!E21*'Pop Data'!AA21</f>
        <v>8420.7415358520248</v>
      </c>
      <c r="I21" s="35">
        <f>+MCHBG!I21*'Pop Data'!AA21</f>
        <v>2195.8344770948011</v>
      </c>
      <c r="J21" s="35">
        <f>+'Title IV-E'!U21</f>
        <v>11448.579851488143</v>
      </c>
      <c r="K21" s="35">
        <f>+'CW - State and Local Share'!D21*'Pop Data'!AA21</f>
        <v>4281.500854801785</v>
      </c>
      <c r="L21" s="35">
        <f>+'Child Care &amp; Dev Fd'!G21*'Child Care &amp; Dev Fd'!U21</f>
        <v>32224.5</v>
      </c>
      <c r="M21" s="35">
        <f>+'Title IV-B'!G21</f>
        <v>1635.4196288179062</v>
      </c>
      <c r="N21" s="35">
        <f>+'Title IV-D'!E21*'Pop Data'!AA21</f>
        <v>15099.609680775593</v>
      </c>
      <c r="O21" s="35">
        <f>+'Title XX'!E21*0.001</f>
        <v>8216.7545043959963</v>
      </c>
      <c r="P21" s="35">
        <f>+TANF!E21*TANF!W21</f>
        <v>31258.005515554418</v>
      </c>
      <c r="Q21" s="35">
        <f>+Nutrition!AI21</f>
        <v>184694.65382233972</v>
      </c>
      <c r="R21" s="41">
        <v>0</v>
      </c>
      <c r="S21" s="35">
        <f>+('Tax Credits'!O21*'Low Income Pop'!H21)+('Tax Credits'!P21*'Pop Data'!AA21)</f>
        <v>317986.70445322257</v>
      </c>
      <c r="T21" s="35">
        <f t="shared" si="0"/>
        <v>1193056.5172114451</v>
      </c>
    </row>
    <row r="22" spans="1:20" x14ac:dyDescent="0.2">
      <c r="A22" s="41" t="s">
        <v>0</v>
      </c>
      <c r="B22" s="41">
        <v>0</v>
      </c>
      <c r="C22" s="35">
        <f>+PreSchool!B22</f>
        <v>10587</v>
      </c>
      <c r="D22" s="35">
        <f>+'Head Start'!J22</f>
        <v>23148.940445390675</v>
      </c>
      <c r="E22" s="35">
        <f>+Medicaid!J22*'Low Income Pop'!H22</f>
        <v>78405.864043429698</v>
      </c>
      <c r="F22" s="35">
        <f>+CHIP!E22*'Low Income Pop'!H22</f>
        <v>6409.5870410392918</v>
      </c>
      <c r="G22" s="35">
        <f>+'Mental Health'!H22*'Pop Data'!AA22</f>
        <v>20463.095629218049</v>
      </c>
      <c r="H22" s="35">
        <f>+Immunizations!E22*'Pop Data'!AA22</f>
        <v>1494.1170539752857</v>
      </c>
      <c r="I22" s="35">
        <f>+MCHBG!I22*'Pop Data'!AA22</f>
        <v>1094.8599822802519</v>
      </c>
      <c r="J22" s="35">
        <f>+'Title IV-E'!U22</f>
        <v>5697.5674809979018</v>
      </c>
      <c r="K22" s="35">
        <f>+'CW - State and Local Share'!D22*'Pop Data'!AA22</f>
        <v>7998.8236185591049</v>
      </c>
      <c r="L22" s="35">
        <f>+'Child Care &amp; Dev Fd'!G22*'Child Care &amp; Dev Fd'!U22</f>
        <v>6398.09</v>
      </c>
      <c r="M22" s="35">
        <f>+'Title IV-B'!G22</f>
        <v>290.74862836731654</v>
      </c>
      <c r="N22" s="35">
        <f>+'Title IV-D'!E22*'Pop Data'!AA22</f>
        <v>4800.06108650035</v>
      </c>
      <c r="O22" s="35">
        <f>+'Title XX'!E22*0.001</f>
        <v>289.60661782924825</v>
      </c>
      <c r="P22" s="35">
        <f>+TANF!E22*TANF!W22</f>
        <v>16561.412354488075</v>
      </c>
      <c r="Q22" s="35">
        <f>+Nutrition!AI22</f>
        <v>38150.659157481801</v>
      </c>
      <c r="R22" s="41">
        <v>0</v>
      </c>
      <c r="S22" s="35">
        <f>+('Tax Credits'!O22*'Low Income Pop'!H22)+('Tax Credits'!P22*'Pop Data'!AA22)</f>
        <v>53587.726458640558</v>
      </c>
      <c r="T22" s="35">
        <f t="shared" si="0"/>
        <v>275378.15959819761</v>
      </c>
    </row>
    <row r="23" spans="1:20" x14ac:dyDescent="0.2">
      <c r="A23" s="41" t="s">
        <v>1</v>
      </c>
      <c r="B23" s="41">
        <v>0</v>
      </c>
      <c r="C23" s="35">
        <f>+PreSchool!B23</f>
        <v>103262</v>
      </c>
      <c r="D23" s="35">
        <f>+'Head Start'!J23</f>
        <v>72064.702818314516</v>
      </c>
      <c r="E23" s="35">
        <f>+Medicaid!J23*'Low Income Pop'!H23</f>
        <v>297141.90459716046</v>
      </c>
      <c r="F23" s="35">
        <f>+CHIP!E23*'Low Income Pop'!H23</f>
        <v>37689.078963297012</v>
      </c>
      <c r="G23" s="35">
        <f>+'Mental Health'!H23*'Pop Data'!AA23</f>
        <v>37302.226326838609</v>
      </c>
      <c r="H23" s="35">
        <f>+Immunizations!E23*'Pop Data'!AA23</f>
        <v>7614.4011927905949</v>
      </c>
      <c r="I23" s="35">
        <f>+MCHBG!I23*'Pop Data'!AA23</f>
        <v>1838.7898528709632</v>
      </c>
      <c r="J23" s="35">
        <f>+'Title IV-E'!U23</f>
        <v>12497.881645036465</v>
      </c>
      <c r="K23" s="35">
        <f>+'CW - State and Local Share'!D23*'Pop Data'!AA23</f>
        <v>37739.727465396638</v>
      </c>
      <c r="L23" s="35">
        <f>+'Child Care &amp; Dev Fd'!G23*'Child Care &amp; Dev Fd'!U23</f>
        <v>36811.880000000005</v>
      </c>
      <c r="M23" s="35">
        <f>+'Title IV-B'!G23</f>
        <v>868.67542871312207</v>
      </c>
      <c r="N23" s="35">
        <f>+'Title IV-D'!E23*'Pop Data'!AA23</f>
        <v>24075.252713201371</v>
      </c>
      <c r="O23" s="35">
        <f>+'Title XX'!E23*0.001</f>
        <v>3509.5931536118301</v>
      </c>
      <c r="P23" s="35">
        <f>+TANF!E23*TANF!W23</f>
        <v>75957.013831581804</v>
      </c>
      <c r="Q23" s="35">
        <f>+Nutrition!AI23</f>
        <v>130151.72570008058</v>
      </c>
      <c r="R23" s="41">
        <v>0</v>
      </c>
      <c r="S23" s="35">
        <f>+('Tax Credits'!O23*'Low Income Pop'!H23)+('Tax Credits'!P23*'Pop Data'!AA23)</f>
        <v>274536.59383979405</v>
      </c>
      <c r="T23" s="35">
        <f t="shared" si="0"/>
        <v>1153061.4475286882</v>
      </c>
    </row>
    <row r="24" spans="1:20" x14ac:dyDescent="0.2">
      <c r="A24" s="41" t="s">
        <v>2</v>
      </c>
      <c r="B24" s="41">
        <v>0</v>
      </c>
      <c r="C24" s="35">
        <f>+PreSchool!B24</f>
        <v>53840</v>
      </c>
      <c r="D24" s="35">
        <f>+'Head Start'!J24</f>
        <v>95007.295435036591</v>
      </c>
      <c r="E24" s="35">
        <f>+Medicaid!J24*'Low Income Pop'!H24</f>
        <v>298405.92412144848</v>
      </c>
      <c r="F24" s="35">
        <f>+CHIP!E24*'Low Income Pop'!H24</f>
        <v>69473.737533408828</v>
      </c>
      <c r="G24" s="35">
        <f>+'Mental Health'!H24*'Pop Data'!AA24</f>
        <v>9608.6056139934462</v>
      </c>
      <c r="H24" s="35">
        <f>+Immunizations!E24*'Pop Data'!AA24</f>
        <v>7772.4421001937326</v>
      </c>
      <c r="I24" s="35">
        <f>+MCHBG!I24*'Pop Data'!AA24</f>
        <v>5683.5892402122136</v>
      </c>
      <c r="J24" s="35">
        <f>+'Title IV-E'!U24</f>
        <v>13526.589809563904</v>
      </c>
      <c r="K24" s="35">
        <f>+'CW - State and Local Share'!D24*'Pop Data'!AA24</f>
        <v>55576.766943410767</v>
      </c>
      <c r="L24" s="35">
        <f>+'Child Care &amp; Dev Fd'!G24*'Child Care &amp; Dev Fd'!U24</f>
        <v>81800.399999999994</v>
      </c>
      <c r="M24" s="35">
        <f>+'Title IV-B'!G24</f>
        <v>1047.9589106741896</v>
      </c>
      <c r="N24" s="35">
        <f>+'Title IV-D'!E24*'Pop Data'!AA24</f>
        <v>18618.343743288035</v>
      </c>
      <c r="O24" s="35">
        <f>+'Title XX'!E24*0.001</f>
        <v>8201.6193289089824</v>
      </c>
      <c r="P24" s="35">
        <f>+TANF!E24*TANF!W24</f>
        <v>148915.40197163678</v>
      </c>
      <c r="Q24" s="35">
        <f>+Nutrition!AI24</f>
        <v>154299.44518077691</v>
      </c>
      <c r="R24" s="41">
        <v>0</v>
      </c>
      <c r="S24" s="35">
        <f>+('Tax Credits'!O24*'Low Income Pop'!H24)+('Tax Credits'!P24*'Pop Data'!AA24)</f>
        <v>226579.99663565971</v>
      </c>
      <c r="T24" s="35">
        <f t="shared" si="0"/>
        <v>1248358.1165682126</v>
      </c>
    </row>
    <row r="25" spans="1:20" x14ac:dyDescent="0.2">
      <c r="A25" s="41" t="s">
        <v>3</v>
      </c>
      <c r="B25" s="41">
        <v>0</v>
      </c>
      <c r="C25" s="35">
        <f>+PreSchool!B25</f>
        <v>104275</v>
      </c>
      <c r="D25" s="35">
        <f>+'Head Start'!J25</f>
        <v>226821.80535667032</v>
      </c>
      <c r="E25" s="35">
        <f>+Medicaid!J25*'Low Income Pop'!H25</f>
        <v>426419.90760847676</v>
      </c>
      <c r="F25" s="35">
        <f>+CHIP!E25*'Low Income Pop'!H25</f>
        <v>9556.8955114364471</v>
      </c>
      <c r="G25" s="35">
        <f>+'Mental Health'!H25*'Pop Data'!AA25</f>
        <v>21012.629329446641</v>
      </c>
      <c r="H25" s="35">
        <f>+Immunizations!E25*'Pop Data'!AA25</f>
        <v>11287.033697556542</v>
      </c>
      <c r="I25" s="35">
        <f>+MCHBG!I25*'Pop Data'!AA25</f>
        <v>5411.1935439614972</v>
      </c>
      <c r="J25" s="35">
        <f>+'Title IV-E'!U25</f>
        <v>36738.255402100694</v>
      </c>
      <c r="K25" s="35">
        <f>+'CW - State and Local Share'!D25*'Pop Data'!AA25</f>
        <v>38754.07071424475</v>
      </c>
      <c r="L25" s="35">
        <f>+'Child Care &amp; Dev Fd'!G25*'Child Care &amp; Dev Fd'!U25</f>
        <v>49418.879999999997</v>
      </c>
      <c r="M25" s="35">
        <f>+'Title IV-B'!G25</f>
        <v>2233.9794476001216</v>
      </c>
      <c r="N25" s="35">
        <f>+'Title IV-D'!E25*'Pop Data'!AA25</f>
        <v>40160.764860799252</v>
      </c>
      <c r="O25" s="35">
        <f>+'Title XX'!E25*0.001</f>
        <v>13771.67142649193</v>
      </c>
      <c r="P25" s="35">
        <f>+TANF!E25*TANF!W25</f>
        <v>233248.09532416164</v>
      </c>
      <c r="Q25" s="35">
        <f>+Nutrition!AI25</f>
        <v>343377.7817395053</v>
      </c>
      <c r="R25" s="41">
        <v>0</v>
      </c>
      <c r="S25" s="35">
        <f>+('Tax Credits'!O25*'Low Income Pop'!H25)+('Tax Credits'!P25*'Pop Data'!AA25)</f>
        <v>504735.85211318848</v>
      </c>
      <c r="T25" s="35">
        <f t="shared" si="0"/>
        <v>2067223.8160756403</v>
      </c>
    </row>
    <row r="26" spans="1:20" x14ac:dyDescent="0.2">
      <c r="A26" s="41" t="s">
        <v>4</v>
      </c>
      <c r="B26" s="41">
        <v>0</v>
      </c>
      <c r="C26" s="35">
        <f>+PreSchool!B26</f>
        <v>13764</v>
      </c>
      <c r="D26" s="35">
        <f>+'Head Start'!J26</f>
        <v>66371.781165098189</v>
      </c>
      <c r="E26" s="35">
        <f>+Medicaid!J26*'Low Income Pop'!H26</f>
        <v>328603.66706632508</v>
      </c>
      <c r="F26" s="35">
        <f>+CHIP!E26*'Low Income Pop'!H26</f>
        <v>3133.6042810429349</v>
      </c>
      <c r="G26" s="35">
        <f>+'Mental Health'!H26*'Pop Data'!AA26</f>
        <v>30467.043739095589</v>
      </c>
      <c r="H26" s="35">
        <f>+Immunizations!E26*'Pop Data'!AA26</f>
        <v>5227.8415607860534</v>
      </c>
      <c r="I26" s="35">
        <f>+MCHBG!I26*'Pop Data'!AA26</f>
        <v>1642.1486417837116</v>
      </c>
      <c r="J26" s="35">
        <f>+'Title IV-E'!U26</f>
        <v>9065.1604070750436</v>
      </c>
      <c r="K26" s="35">
        <f>+'CW - State and Local Share'!D26*'Pop Data'!AA26</f>
        <v>41772.326075815661</v>
      </c>
      <c r="L26" s="35">
        <f>+'Child Care &amp; Dev Fd'!G26*'Child Care &amp; Dev Fd'!U26</f>
        <v>54600.560000000005</v>
      </c>
      <c r="M26" s="35">
        <f>+'Title IV-B'!G26</f>
        <v>924.72619003049635</v>
      </c>
      <c r="N26" s="35">
        <f>+'Title IV-D'!E26*'Pop Data'!AA26</f>
        <v>32339.584689236672</v>
      </c>
      <c r="O26" s="35">
        <f>+'Title XX'!E26*0.001</f>
        <v>2298.2954422226821</v>
      </c>
      <c r="P26" s="35">
        <f>+TANF!E26*TANF!W26</f>
        <v>58245.225473685321</v>
      </c>
      <c r="Q26" s="35">
        <f>+Nutrition!AI26</f>
        <v>105747.31464179573</v>
      </c>
      <c r="R26" s="41">
        <v>0</v>
      </c>
      <c r="S26" s="35">
        <f>+('Tax Credits'!O26*'Low Income Pop'!H26)+('Tax Credits'!P26*'Pop Data'!AA26)</f>
        <v>257809.12300472459</v>
      </c>
      <c r="T26" s="35">
        <f t="shared" si="0"/>
        <v>1012012.4023787178</v>
      </c>
    </row>
    <row r="27" spans="1:20" x14ac:dyDescent="0.2">
      <c r="A27" s="41" t="s">
        <v>5</v>
      </c>
      <c r="B27" s="41">
        <v>0</v>
      </c>
      <c r="C27" s="35">
        <f>+PreSchool!B27</f>
        <v>0</v>
      </c>
      <c r="D27" s="35">
        <f>+'Head Start'!J27</f>
        <v>169326.47979757946</v>
      </c>
      <c r="E27" s="35">
        <f>+Medicaid!J27*'Low Income Pop'!H27</f>
        <v>195951.84463857926</v>
      </c>
      <c r="F27" s="35">
        <f>+CHIP!E27*'Low Income Pop'!H27</f>
        <v>32152.871661989986</v>
      </c>
      <c r="G27" s="35">
        <f>+'Mental Health'!H27*'Pop Data'!AA27</f>
        <v>11307.13941263617</v>
      </c>
      <c r="H27" s="35">
        <f>+Immunizations!E27*'Pop Data'!AA27</f>
        <v>5603.332824866201</v>
      </c>
      <c r="I27" s="35">
        <f>+MCHBG!I27*'Pop Data'!AA27</f>
        <v>1929.8721760609017</v>
      </c>
      <c r="J27" s="35">
        <f>+'Title IV-E'!U27</f>
        <v>3495.6289314762662</v>
      </c>
      <c r="K27" s="35">
        <f>+'CW - State and Local Share'!D27*'Pop Data'!AA27</f>
        <v>6056.9190469226505</v>
      </c>
      <c r="L27" s="35">
        <f>+'Child Care &amp; Dev Fd'!G27*'Child Care &amp; Dev Fd'!U27</f>
        <v>21803.31</v>
      </c>
      <c r="M27" s="35">
        <f>+'Title IV-B'!G27</f>
        <v>1047.8162641657314</v>
      </c>
      <c r="N27" s="35">
        <f>+'Title IV-D'!E27*'Pop Data'!AA27</f>
        <v>6125.507653625963</v>
      </c>
      <c r="O27" s="35">
        <f>+'Title XX'!E27*0.001</f>
        <v>2330.923606282729</v>
      </c>
      <c r="P27" s="35">
        <f>+TANF!E27*TANF!W27</f>
        <v>13322.029721697416</v>
      </c>
      <c r="Q27" s="35">
        <f>+Nutrition!AI27</f>
        <v>111153.85437282066</v>
      </c>
      <c r="R27" s="41">
        <v>0</v>
      </c>
      <c r="S27" s="35">
        <f>+('Tax Credits'!O27*'Low Income Pop'!H27)+('Tax Credits'!P27*'Pop Data'!AA27)</f>
        <v>242425.67369003603</v>
      </c>
      <c r="T27" s="35">
        <f t="shared" si="0"/>
        <v>824033.20379873959</v>
      </c>
    </row>
    <row r="28" spans="1:20" x14ac:dyDescent="0.2">
      <c r="A28" s="41" t="s">
        <v>6</v>
      </c>
      <c r="B28" s="41">
        <v>0</v>
      </c>
      <c r="C28" s="35">
        <f>+PreSchool!B28</f>
        <v>11005</v>
      </c>
      <c r="D28" s="35">
        <f>+'Head Start'!J28</f>
        <v>108159.47240722644</v>
      </c>
      <c r="E28" s="35">
        <f>+Medicaid!J28*'Low Income Pop'!H28</f>
        <v>395594.09962134459</v>
      </c>
      <c r="F28" s="35">
        <f>+CHIP!E28*'Low Income Pop'!H28</f>
        <v>25064.015185001608</v>
      </c>
      <c r="G28" s="35">
        <f>+'Mental Health'!H28*'Pop Data'!AA28</f>
        <v>8918.7381172718706</v>
      </c>
      <c r="H28" s="35">
        <f>+Immunizations!E28*'Pop Data'!AA28</f>
        <v>7379.8270648625739</v>
      </c>
      <c r="I28" s="35">
        <f>+MCHBG!I28*'Pop Data'!AA28</f>
        <v>2277.1237001015338</v>
      </c>
      <c r="J28" s="35">
        <f>+'Title IV-E'!U28</f>
        <v>14816.818770925736</v>
      </c>
      <c r="K28" s="35">
        <f>+'CW - State and Local Share'!D28*'Pop Data'!AA28</f>
        <v>26740.851770783232</v>
      </c>
      <c r="L28" s="35">
        <f>+'Child Care &amp; Dev Fd'!G28*'Child Care &amp; Dev Fd'!U28</f>
        <v>46421.170000000006</v>
      </c>
      <c r="M28" s="35">
        <f>+'Title IV-B'!G28</f>
        <v>2186.3819893684113</v>
      </c>
      <c r="N28" s="35">
        <f>+'Title IV-D'!E28*'Pop Data'!AA28</f>
        <v>15450.154766561569</v>
      </c>
      <c r="O28" s="35">
        <f>+'Title XX'!E28*0.001</f>
        <v>7067.2720718587243</v>
      </c>
      <c r="P28" s="35">
        <f>+TANF!E28*TANF!W28</f>
        <v>62942.002859680113</v>
      </c>
      <c r="Q28" s="35">
        <f>+Nutrition!AI28</f>
        <v>165480.04046862017</v>
      </c>
      <c r="R28" s="41">
        <v>0</v>
      </c>
      <c r="S28" s="35">
        <f>+('Tax Credits'!O28*'Low Income Pop'!H28)+('Tax Credits'!P28*'Pop Data'!AA28)</f>
        <v>311742.60245876323</v>
      </c>
      <c r="T28" s="35">
        <f t="shared" si="0"/>
        <v>1211245.5712523698</v>
      </c>
    </row>
    <row r="29" spans="1:20" x14ac:dyDescent="0.2">
      <c r="A29" s="41" t="s">
        <v>7</v>
      </c>
      <c r="B29" s="41">
        <v>0</v>
      </c>
      <c r="C29" s="35">
        <f>+PreSchool!B29</f>
        <v>0</v>
      </c>
      <c r="D29" s="35">
        <f>+'Head Start'!J29</f>
        <v>19528.051079646018</v>
      </c>
      <c r="E29" s="35">
        <f>+Medicaid!J29*'Low Income Pop'!H29</f>
        <v>42219.46657181756</v>
      </c>
      <c r="F29" s="35">
        <f>+CHIP!E29*'Low Income Pop'!H29</f>
        <v>11570.68131850003</v>
      </c>
      <c r="G29" s="35">
        <f>+'Mental Health'!H29*'Pop Data'!AA29</f>
        <v>11001.841874680955</v>
      </c>
      <c r="H29" s="35">
        <f>+Immunizations!E29*'Pop Data'!AA29</f>
        <v>1085.919805676187</v>
      </c>
      <c r="I29" s="35">
        <f>+MCHBG!I29*'Pop Data'!AA29</f>
        <v>459.94109105324799</v>
      </c>
      <c r="J29" s="35">
        <f>+'Title IV-E'!U29</f>
        <v>3468.9248076403278</v>
      </c>
      <c r="K29" s="35">
        <f>+'CW - State and Local Share'!D29*'Pop Data'!AA29</f>
        <v>4075.3590053157941</v>
      </c>
      <c r="L29" s="35">
        <f>+'Child Care &amp; Dev Fd'!G29*'Child Care &amp; Dev Fd'!U29</f>
        <v>8137.9800000000014</v>
      </c>
      <c r="M29" s="35">
        <f>+'Title IV-B'!G29</f>
        <v>168.6694000496326</v>
      </c>
      <c r="N29" s="35">
        <f>+'Title IV-D'!E29*'Pop Data'!AA29</f>
        <v>2930.3615821245157</v>
      </c>
      <c r="O29" s="35">
        <f>+'Title XX'!E29*0.001</f>
        <v>694.52891707477761</v>
      </c>
      <c r="P29" s="35">
        <f>+TANF!E29*TANF!W29</f>
        <v>6881.4714133120751</v>
      </c>
      <c r="Q29" s="35">
        <f>+Nutrition!AI29</f>
        <v>24293.328716707194</v>
      </c>
      <c r="R29" s="41">
        <v>0</v>
      </c>
      <c r="S29" s="35">
        <f>+('Tax Credits'!O29*'Low Income Pop'!H29)+('Tax Credits'!P29*'Pop Data'!AA29)</f>
        <v>45223.914994234801</v>
      </c>
      <c r="T29" s="35">
        <f t="shared" si="0"/>
        <v>181740.4405778331</v>
      </c>
    </row>
    <row r="30" spans="1:20" x14ac:dyDescent="0.2">
      <c r="A30" s="41" t="s">
        <v>8</v>
      </c>
      <c r="B30" s="41">
        <v>0</v>
      </c>
      <c r="C30" s="35">
        <f>+PreSchool!B30</f>
        <v>9629</v>
      </c>
      <c r="D30" s="35">
        <f>+'Head Start'!J30</f>
        <v>54130.192003552402</v>
      </c>
      <c r="E30" s="35">
        <f>+Medicaid!J30*'Low Income Pop'!H30</f>
        <v>72455.066269636925</v>
      </c>
      <c r="F30" s="35">
        <f>+CHIP!E30*'Low Income Pop'!H30</f>
        <v>9560.6390766962122</v>
      </c>
      <c r="G30" s="35">
        <f>+'Mental Health'!H30*'Pop Data'!AA30</f>
        <v>1363.1928134761533</v>
      </c>
      <c r="H30" s="35">
        <f>+Immunizations!E30*'Pop Data'!AA30</f>
        <v>2860.2521868149888</v>
      </c>
      <c r="I30" s="35">
        <f>+MCHBG!I30*'Pop Data'!AA30</f>
        <v>729.5760095359351</v>
      </c>
      <c r="J30" s="35">
        <f>+'Title IV-E'!U30</f>
        <v>5069.5016604158354</v>
      </c>
      <c r="K30" s="35">
        <f>+'CW - State and Local Share'!D30*'Pop Data'!AA30</f>
        <v>19329.490605409956</v>
      </c>
      <c r="L30" s="35">
        <f>+'Child Care &amp; Dev Fd'!G30*'Child Care &amp; Dev Fd'!U30</f>
        <v>27205.100000000002</v>
      </c>
      <c r="M30" s="35">
        <f>+'Title IV-B'!G30</f>
        <v>426.90038121531143</v>
      </c>
      <c r="N30" s="35">
        <f>+'Title IV-D'!E30*'Pop Data'!AA30</f>
        <v>6597.1998187330737</v>
      </c>
      <c r="O30" s="35">
        <f>+'Title XX'!E30*0.001</f>
        <v>443.86368938608416</v>
      </c>
      <c r="P30" s="35">
        <f>+TANF!E30*TANF!W30</f>
        <v>13501.822918344267</v>
      </c>
      <c r="Q30" s="35">
        <f>+Nutrition!AI30</f>
        <v>38837.384745919655</v>
      </c>
      <c r="R30" s="41">
        <v>0</v>
      </c>
      <c r="S30" s="35">
        <f>+('Tax Credits'!O30*'Low Income Pop'!H30)+('Tax Credits'!P30*'Pop Data'!AA30)</f>
        <v>98630.15739170686</v>
      </c>
      <c r="T30" s="35">
        <f t="shared" si="0"/>
        <v>360769.33957084361</v>
      </c>
    </row>
    <row r="31" spans="1:20" x14ac:dyDescent="0.2">
      <c r="A31" s="41" t="s">
        <v>92</v>
      </c>
      <c r="B31" s="41">
        <v>0</v>
      </c>
      <c r="C31" s="35">
        <f>+PreSchool!B31</f>
        <v>3339</v>
      </c>
      <c r="D31" s="35">
        <f>+'Head Start'!J31</f>
        <v>23693.564713944394</v>
      </c>
      <c r="E31" s="35">
        <f>+Medicaid!J31*'Low Income Pop'!H31</f>
        <v>97740.652252367479</v>
      </c>
      <c r="F31" s="35">
        <f>+CHIP!E31*'Low Income Pop'!H31</f>
        <v>6832.4029344120418</v>
      </c>
      <c r="G31" s="35">
        <f>+'Mental Health'!H31*'Pop Data'!AA31</f>
        <v>3455.9652166227011</v>
      </c>
      <c r="H31" s="35">
        <f>+Immunizations!E31*'Pop Data'!AA31</f>
        <v>4265.2899629044141</v>
      </c>
      <c r="I31" s="35">
        <f>+MCHBG!I31*'Pop Data'!AA31</f>
        <v>312.27023025906334</v>
      </c>
      <c r="J31" s="35">
        <f>+'Title IV-E'!U31</f>
        <v>8957.7218115819724</v>
      </c>
      <c r="K31" s="35">
        <f>+'CW - State and Local Share'!D31*'Pop Data'!AA31</f>
        <v>6874.4730847535275</v>
      </c>
      <c r="L31" s="35">
        <f>+'Child Care &amp; Dev Fd'!G31*'Child Care &amp; Dev Fd'!U31</f>
        <v>13496.490000000002</v>
      </c>
      <c r="M31" s="35">
        <f>+'Title IV-B'!G31</f>
        <v>827.74163498762914</v>
      </c>
      <c r="N31" s="35">
        <f>+'Title IV-D'!E31*'Pop Data'!AA31</f>
        <v>9518.2235741421955</v>
      </c>
      <c r="O31" s="35">
        <f>+'Title XX'!E31*0.001</f>
        <v>1443.6492963295141</v>
      </c>
      <c r="P31" s="35">
        <f>+TANF!E31*TANF!W31</f>
        <v>14817.30281757653</v>
      </c>
      <c r="Q31" s="35">
        <f>+Nutrition!AI31</f>
        <v>62703.524926690203</v>
      </c>
      <c r="R31" s="41">
        <v>0</v>
      </c>
      <c r="S31" s="35">
        <f>+('Tax Credits'!O31*'Low Income Pop'!H31)+('Tax Credits'!P31*'Pop Data'!AA31)</f>
        <v>153832.39209085397</v>
      </c>
      <c r="T31" s="35">
        <f t="shared" si="0"/>
        <v>412110.66454742564</v>
      </c>
    </row>
    <row r="32" spans="1:20" x14ac:dyDescent="0.2">
      <c r="A32" s="41" t="s">
        <v>9</v>
      </c>
      <c r="B32" s="41">
        <v>0</v>
      </c>
      <c r="C32" s="35">
        <f>+PreSchool!B32</f>
        <v>0</v>
      </c>
      <c r="D32" s="35">
        <f>+'Head Start'!J32</f>
        <v>12252.592072677093</v>
      </c>
      <c r="E32" s="35">
        <f>+Medicaid!J32*'Low Income Pop'!H32</f>
        <v>53597.017531262536</v>
      </c>
      <c r="F32" s="35">
        <f>+CHIP!E32*'Low Income Pop'!H32</f>
        <v>2858.3082879908952</v>
      </c>
      <c r="G32" s="35">
        <f>+'Mental Health'!H32*'Pop Data'!AA32</f>
        <v>4388.0971760898519</v>
      </c>
      <c r="H32" s="35">
        <f>+Immunizations!E32*'Pop Data'!AA32</f>
        <v>1100.8016303740358</v>
      </c>
      <c r="I32" s="35">
        <f>+MCHBG!I32*'Pop Data'!AA32</f>
        <v>609.5790305195751</v>
      </c>
      <c r="J32" s="35">
        <f>+'Title IV-E'!U32</f>
        <v>2343.5826528889538</v>
      </c>
      <c r="K32" s="35">
        <f>+'CW - State and Local Share'!D32*'Pop Data'!AA32</f>
        <v>3557.3076990248874</v>
      </c>
      <c r="L32" s="35">
        <f>+'Child Care &amp; Dev Fd'!G32*'Child Care &amp; Dev Fd'!U32</f>
        <v>9737.3499999999985</v>
      </c>
      <c r="M32" s="35">
        <f>+'Title IV-B'!G32</f>
        <v>210.3836224052302</v>
      </c>
      <c r="N32" s="35">
        <f>+'Title IV-D'!E32*'Pop Data'!AA32</f>
        <v>3278.1628292824917</v>
      </c>
      <c r="O32" s="35">
        <f>+'Title XX'!E32*0.001</f>
        <v>391.63927115927044</v>
      </c>
      <c r="P32" s="35">
        <f>+TANF!E32*TANF!W32</f>
        <v>12021.046599613011</v>
      </c>
      <c r="Q32" s="35">
        <f>+Nutrition!AI32</f>
        <v>19530.138843977871</v>
      </c>
      <c r="R32" s="41">
        <v>0</v>
      </c>
      <c r="S32" s="35">
        <f>+('Tax Credits'!O32*'Low Income Pop'!H32)+('Tax Credits'!P32*'Pop Data'!AA32)</f>
        <v>41361.821094943065</v>
      </c>
      <c r="T32" s="35">
        <f t="shared" si="0"/>
        <v>167237.82834220876</v>
      </c>
    </row>
    <row r="33" spans="1:20" x14ac:dyDescent="0.2">
      <c r="A33" s="41" t="s">
        <v>10</v>
      </c>
      <c r="B33" s="41">
        <v>0</v>
      </c>
      <c r="C33" s="35">
        <f>+PreSchool!B33</f>
        <v>600894</v>
      </c>
      <c r="D33" s="35">
        <f>+'Head Start'!J33</f>
        <v>129386.57234174633</v>
      </c>
      <c r="E33" s="35">
        <f>+Medicaid!J33*'Low Income Pop'!H33</f>
        <v>354981.75669904117</v>
      </c>
      <c r="F33" s="35">
        <f>+CHIP!E33*'Low Income Pop'!H33</f>
        <v>141547.91942597833</v>
      </c>
      <c r="G33" s="35">
        <f>+'Mental Health'!H33*'Pop Data'!AA33</f>
        <v>34659.664249076275</v>
      </c>
      <c r="H33" s="35">
        <f>+Immunizations!E33*'Pop Data'!AA33</f>
        <v>8641.5080886954311</v>
      </c>
      <c r="I33" s="35">
        <f>+MCHBG!I33*'Pop Data'!AA33</f>
        <v>10006.43560399411</v>
      </c>
      <c r="J33" s="35">
        <f>+'Title IV-E'!U33</f>
        <v>25133.106746492271</v>
      </c>
      <c r="K33" s="35">
        <f>+'CW - State and Local Share'!D33*'Pop Data'!AA33</f>
        <v>69387.271260037582</v>
      </c>
      <c r="L33" s="35">
        <f>+'Child Care &amp; Dev Fd'!G33*'Child Care &amp; Dev Fd'!U33</f>
        <v>70485.52</v>
      </c>
      <c r="M33" s="35">
        <f>+'Title IV-B'!G33</f>
        <v>1419.7572423868969</v>
      </c>
      <c r="N33" s="35">
        <f>+'Title IV-D'!E33*'Pop Data'!AA33</f>
        <v>49942.136088717642</v>
      </c>
      <c r="O33" s="35">
        <f>+'Title XX'!E33*0.001</f>
        <v>5316.9544874033154</v>
      </c>
      <c r="P33" s="35">
        <f>+TANF!E33*TANF!W33</f>
        <v>157358.45772589647</v>
      </c>
      <c r="Q33" s="35">
        <f>+Nutrition!AI33</f>
        <v>179592.09429643434</v>
      </c>
      <c r="R33" s="41">
        <v>0</v>
      </c>
      <c r="S33" s="35">
        <f>+('Tax Credits'!O33*'Low Income Pop'!H33)+('Tax Credits'!P33*'Pop Data'!AA33)</f>
        <v>374769.8187303443</v>
      </c>
      <c r="T33" s="35">
        <f t="shared" si="0"/>
        <v>2213522.9729862446</v>
      </c>
    </row>
    <row r="34" spans="1:20" x14ac:dyDescent="0.2">
      <c r="A34" s="41" t="s">
        <v>11</v>
      </c>
      <c r="B34" s="41">
        <v>0</v>
      </c>
      <c r="C34" s="35">
        <f>+PreSchool!B34</f>
        <v>14514</v>
      </c>
      <c r="D34" s="35">
        <f>+'Head Start'!J34</f>
        <v>49783.241184457183</v>
      </c>
      <c r="E34" s="35">
        <f>+Medicaid!J34*'Low Income Pop'!H34</f>
        <v>275132.44962012098</v>
      </c>
      <c r="F34" s="35">
        <f>+CHIP!E34*'Low Income Pop'!H34</f>
        <v>23463.302509747486</v>
      </c>
      <c r="G34" s="35">
        <f>+'Mental Health'!H34*'Pop Data'!AA34</f>
        <v>16146.792835732698</v>
      </c>
      <c r="H34" s="35">
        <f>+Immunizations!E34*'Pop Data'!AA34</f>
        <v>4454.6858662045479</v>
      </c>
      <c r="I34" s="35">
        <f>+MCHBG!I34*'Pop Data'!AA34</f>
        <v>801.79804897345082</v>
      </c>
      <c r="J34" s="35">
        <f>+'Title IV-E'!U34</f>
        <v>7860.5827187904561</v>
      </c>
      <c r="K34" s="35">
        <f>+'CW - State and Local Share'!D34*'Pop Data'!AA34</f>
        <v>4082.3010757286538</v>
      </c>
      <c r="L34" s="35">
        <f>+'Child Care &amp; Dev Fd'!G34*'Child Care &amp; Dev Fd'!U34</f>
        <v>20262.2</v>
      </c>
      <c r="M34" s="35">
        <f>+'Title IV-B'!G34</f>
        <v>519.97251342644438</v>
      </c>
      <c r="N34" s="35">
        <f>+'Title IV-D'!E34*'Pop Data'!AA34</f>
        <v>7874.7705980460387</v>
      </c>
      <c r="O34" s="35">
        <f>+'Title XX'!E34*0.001</f>
        <v>1313.5186969199519</v>
      </c>
      <c r="P34" s="35">
        <f>+TANF!E34*TANF!W34</f>
        <v>26106.437373249966</v>
      </c>
      <c r="Q34" s="35">
        <f>+Nutrition!AI34</f>
        <v>83465.801016251557</v>
      </c>
      <c r="R34" s="41">
        <v>0</v>
      </c>
      <c r="S34" s="35">
        <f>+('Tax Credits'!O34*'Low Income Pop'!H34)+('Tax Credits'!P34*'Pop Data'!AA34)</f>
        <v>131937.51268254084</v>
      </c>
      <c r="T34" s="35">
        <f t="shared" si="0"/>
        <v>667719.36674019019</v>
      </c>
    </row>
    <row r="35" spans="1:20" s="23" customFormat="1" x14ac:dyDescent="0.2">
      <c r="A35" s="42" t="s">
        <v>12</v>
      </c>
      <c r="B35" s="42">
        <v>0</v>
      </c>
      <c r="C35" s="37">
        <f>+PreSchool!B35</f>
        <v>380170</v>
      </c>
      <c r="D35" s="37">
        <f>+'Head Start'!J35</f>
        <v>419363.46560345381</v>
      </c>
      <c r="E35" s="37">
        <f>+Medicaid!J35*'Low Income Pop'!H35</f>
        <v>1059029.6078043976</v>
      </c>
      <c r="F35" s="37">
        <f>+CHIP!E35*'Low Income Pop'!H35</f>
        <v>121352.32985442215</v>
      </c>
      <c r="G35" s="37">
        <f>+'Mental Health'!H35*'Pop Data'!AA35</f>
        <v>80012.985279604851</v>
      </c>
      <c r="H35" s="37">
        <f>+Immunizations!E35*'Pop Data'!AA35</f>
        <v>27432.793942114688</v>
      </c>
      <c r="I35" s="37">
        <f>+MCHBG!I35*'Pop Data'!AA35</f>
        <v>19741.403994785083</v>
      </c>
      <c r="J35" s="37">
        <f>+'Title IV-E'!U35</f>
        <v>76234.319483417683</v>
      </c>
      <c r="K35" s="37">
        <f>+'CW - State and Local Share'!D35*'Pop Data'!AA35</f>
        <v>185615.73915321848</v>
      </c>
      <c r="L35" s="37">
        <f>+'Child Care &amp; Dev Fd'!G35*'Child Care &amp; Dev Fd'!U35</f>
        <v>255920.40000000005</v>
      </c>
      <c r="M35" s="37">
        <f>+'Title IV-B'!G35</f>
        <v>4219.509322011364</v>
      </c>
      <c r="N35" s="37">
        <f>+'Title IV-D'!E35*'Pop Data'!AA35</f>
        <v>67568.44426708488</v>
      </c>
      <c r="O35" s="37">
        <f>+'Title XX'!E35*0.001</f>
        <v>23829.573759135528</v>
      </c>
      <c r="P35" s="37">
        <f>+TANF!E35*TANF!W35</f>
        <v>635965.91241072852</v>
      </c>
      <c r="Q35" s="37">
        <f>+Nutrition!AI35</f>
        <v>633148.50467047398</v>
      </c>
      <c r="R35" s="42">
        <v>0</v>
      </c>
      <c r="S35" s="37">
        <f>+('Tax Credits'!O35*'Low Income Pop'!H35)+('Tax Credits'!P35*'Pop Data'!AA35)</f>
        <v>1144182.5025423556</v>
      </c>
      <c r="T35" s="37">
        <f t="shared" si="0"/>
        <v>5133787.492087204</v>
      </c>
    </row>
    <row r="36" spans="1:20" x14ac:dyDescent="0.2">
      <c r="A36" s="41" t="s">
        <v>13</v>
      </c>
      <c r="B36" s="41">
        <v>0</v>
      </c>
      <c r="C36" s="35">
        <f>+PreSchool!B36</f>
        <v>128147</v>
      </c>
      <c r="D36" s="35">
        <f>+'Head Start'!J36</f>
        <v>132385.66418990309</v>
      </c>
      <c r="E36" s="35">
        <f>+Medicaid!J36*'Low Income Pop'!H36</f>
        <v>549241.38601898786</v>
      </c>
      <c r="F36" s="35">
        <f>+CHIP!E36*'Low Income Pop'!H36</f>
        <v>59610.510788390602</v>
      </c>
      <c r="G36" s="35">
        <f>+'Mental Health'!H36*'Pop Data'!AA36</f>
        <v>74077.346920674288</v>
      </c>
      <c r="H36" s="35">
        <f>+Immunizations!E36*'Pop Data'!AA36</f>
        <v>12440.890461812844</v>
      </c>
      <c r="I36" s="35">
        <f>+MCHBG!I36*'Pop Data'!AA36</f>
        <v>4861.693251642665</v>
      </c>
      <c r="J36" s="35">
        <f>+'Title IV-E'!U36</f>
        <v>19665.749489349793</v>
      </c>
      <c r="K36" s="35">
        <f>+'CW - State and Local Share'!D36*'Pop Data'!AA36</f>
        <v>25548.643865283957</v>
      </c>
      <c r="L36" s="35">
        <f>+'Child Care &amp; Dev Fd'!G36*'Child Care &amp; Dev Fd'!U36</f>
        <v>82076.399999999994</v>
      </c>
      <c r="M36" s="35">
        <f>+'Title IV-B'!G36</f>
        <v>2328.0005474490326</v>
      </c>
      <c r="N36" s="35">
        <f>+'Title IV-D'!E36*'Pop Data'!AA36</f>
        <v>28260.033105214545</v>
      </c>
      <c r="O36" s="35">
        <f>+'Title XX'!E36*0.001</f>
        <v>3382.0529538079159</v>
      </c>
      <c r="P36" s="35">
        <f>+TANF!E36*TANF!W36</f>
        <v>79357.961810161243</v>
      </c>
      <c r="Q36" s="35">
        <f>+Nutrition!AI36</f>
        <v>285260.32581189671</v>
      </c>
      <c r="R36" s="41">
        <v>0</v>
      </c>
      <c r="S36" s="35">
        <f>+('Tax Credits'!O36*'Low Income Pop'!H36)+('Tax Credits'!P36*'Pop Data'!AA36)</f>
        <v>579616.26989440632</v>
      </c>
      <c r="T36" s="35">
        <f t="shared" ref="T36:T53" si="1">SUM(B36:S36)</f>
        <v>2066259.929108981</v>
      </c>
    </row>
    <row r="37" spans="1:20" x14ac:dyDescent="0.2">
      <c r="A37" s="41" t="s">
        <v>14</v>
      </c>
      <c r="B37" s="41">
        <v>0</v>
      </c>
      <c r="C37" s="35">
        <f>+PreSchool!B37</f>
        <v>0</v>
      </c>
      <c r="D37" s="35">
        <f>+'Head Start'!J37</f>
        <v>15889.598767684476</v>
      </c>
      <c r="E37" s="35">
        <f>+Medicaid!J37*'Low Income Pop'!H37</f>
        <v>19684.860670318267</v>
      </c>
      <c r="F37" s="35">
        <f>+CHIP!E37*'Low Income Pop'!H37</f>
        <v>3132.5508316239916</v>
      </c>
      <c r="G37" s="35">
        <f>+'Mental Health'!H37*'Pop Data'!AA37</f>
        <v>423.01987093716156</v>
      </c>
      <c r="H37" s="35">
        <f>+Immunizations!E37*'Pop Data'!AA37</f>
        <v>978.57070164545178</v>
      </c>
      <c r="I37" s="35">
        <f>+MCHBG!I37*'Pop Data'!AA37</f>
        <v>364.77598882334684</v>
      </c>
      <c r="J37" s="35">
        <f>+'Title IV-E'!U37</f>
        <v>2210.5287107523541</v>
      </c>
      <c r="K37" s="35">
        <f>+'CW - State and Local Share'!D37*'Pop Data'!AA37</f>
        <v>3028.888026492808</v>
      </c>
      <c r="L37" s="35">
        <f>+'Child Care &amp; Dev Fd'!G37*'Child Care &amp; Dev Fd'!U37</f>
        <v>3331.2</v>
      </c>
      <c r="M37" s="35">
        <f>+'Title IV-B'!G37</f>
        <v>118.17633956107241</v>
      </c>
      <c r="N37" s="35">
        <f>+'Title IV-D'!E37*'Pop Data'!AA37</f>
        <v>3138.6077046465903</v>
      </c>
      <c r="O37" s="35">
        <f>+'Title XX'!E37*0.001</f>
        <v>110.52594931169504</v>
      </c>
      <c r="P37" s="35">
        <f>+TANF!E37*TANF!W37</f>
        <v>6276.2406060115045</v>
      </c>
      <c r="Q37" s="35">
        <f>+Nutrition!AI37</f>
        <v>15233.864021215722</v>
      </c>
      <c r="R37" s="41">
        <v>0</v>
      </c>
      <c r="S37" s="35">
        <f>+('Tax Credits'!O37*'Low Income Pop'!H37)+('Tax Credits'!P37*'Pop Data'!AA37)</f>
        <v>26649.98032561718</v>
      </c>
      <c r="T37" s="35">
        <f t="shared" si="1"/>
        <v>100571.38851464161</v>
      </c>
    </row>
    <row r="38" spans="1:20" x14ac:dyDescent="0.2">
      <c r="A38" s="41" t="s">
        <v>15</v>
      </c>
      <c r="B38" s="41">
        <v>0</v>
      </c>
      <c r="C38" s="35">
        <f>+PreSchool!B38</f>
        <v>22688</v>
      </c>
      <c r="D38" s="35">
        <f>+'Head Start'!J38</f>
        <v>231088.43048318045</v>
      </c>
      <c r="E38" s="35">
        <f>+Medicaid!J38*'Low Income Pop'!H38</f>
        <v>493971.24455772038</v>
      </c>
      <c r="F38" s="35">
        <f>+CHIP!E38*'Low Income Pop'!H38</f>
        <v>67184.493051632468</v>
      </c>
      <c r="G38" s="35">
        <f>+'Mental Health'!H38*'Pop Data'!AA38</f>
        <v>40493.923217724579</v>
      </c>
      <c r="H38" s="35">
        <f>+Immunizations!E38*'Pop Data'!AA38</f>
        <v>12429.067658821237</v>
      </c>
      <c r="I38" s="35">
        <f>+MCHBG!I38*'Pop Data'!AA38</f>
        <v>6285.1554325319084</v>
      </c>
      <c r="J38" s="35">
        <f>+'Title IV-E'!U38</f>
        <v>59647.298460328093</v>
      </c>
      <c r="K38" s="35">
        <f>+'CW - State and Local Share'!D38*'Pop Data'!AA38</f>
        <v>96134.78492187857</v>
      </c>
      <c r="L38" s="35">
        <f>+'Child Care &amp; Dev Fd'!G38*'Child Care &amp; Dev Fd'!U38</f>
        <v>83405.000000000015</v>
      </c>
      <c r="M38" s="35">
        <f>+'Title IV-B'!G38</f>
        <v>3257.699645750899</v>
      </c>
      <c r="N38" s="35">
        <f>+'Title IV-D'!E38*'Pop Data'!AA38</f>
        <v>43638.42066296401</v>
      </c>
      <c r="O38" s="35">
        <f>+'Title XX'!E38*0.001</f>
        <v>3338.16242755235</v>
      </c>
      <c r="P38" s="35">
        <f>+TANF!E38*TANF!W38</f>
        <v>145943.05936287757</v>
      </c>
      <c r="Q38" s="35">
        <f>+Nutrition!AI38</f>
        <v>268691.14623586653</v>
      </c>
      <c r="R38" s="41">
        <v>0</v>
      </c>
      <c r="S38" s="35">
        <f>+('Tax Credits'!O38*'Low Income Pop'!H38)+('Tax Credits'!P38*'Pop Data'!AA38)</f>
        <v>563547.02700176602</v>
      </c>
      <c r="T38" s="35">
        <f t="shared" si="1"/>
        <v>2141742.9131205948</v>
      </c>
    </row>
    <row r="39" spans="1:20" x14ac:dyDescent="0.2">
      <c r="A39" s="41" t="s">
        <v>16</v>
      </c>
      <c r="B39" s="41">
        <v>0</v>
      </c>
      <c r="C39" s="35">
        <f>+PreSchool!B39</f>
        <v>146407</v>
      </c>
      <c r="D39" s="35">
        <f>+'Head Start'!J39</f>
        <v>82695.767503649637</v>
      </c>
      <c r="E39" s="35">
        <f>+Medicaid!J39*'Low Income Pop'!H39</f>
        <v>244587.97705690505</v>
      </c>
      <c r="F39" s="35">
        <f>+CHIP!E39*'Low Income Pop'!H39</f>
        <v>23092.719660288407</v>
      </c>
      <c r="G39" s="35">
        <f>+'Mental Health'!H39*'Pop Data'!AA39</f>
        <v>2518.6682029045191</v>
      </c>
      <c r="H39" s="35">
        <f>+Immunizations!E39*'Pop Data'!AA39</f>
        <v>7378.9457913465749</v>
      </c>
      <c r="I39" s="35">
        <f>+MCHBG!I39*'Pop Data'!AA39</f>
        <v>1530.3776342857568</v>
      </c>
      <c r="J39" s="35">
        <f>+'Title IV-E'!U39</f>
        <v>11487.158637095768</v>
      </c>
      <c r="K39" s="35">
        <f>+'CW - State and Local Share'!D39*'Pop Data'!AA39</f>
        <v>12385.928025748828</v>
      </c>
      <c r="L39" s="35">
        <f>+'Child Care &amp; Dev Fd'!G39*'Child Care &amp; Dev Fd'!U39</f>
        <v>37114</v>
      </c>
      <c r="M39" s="35">
        <f>+'Title IV-B'!G39</f>
        <v>814.998800479652</v>
      </c>
      <c r="N39" s="35">
        <f>+'Title IV-D'!E39*'Pop Data'!AA39</f>
        <v>14642.428231112171</v>
      </c>
      <c r="O39" s="35">
        <f>+'Title XX'!E39*0.001</f>
        <v>4064.7999690000006</v>
      </c>
      <c r="P39" s="35">
        <f>+TANF!E39*TANF!W39</f>
        <v>19604.709239526179</v>
      </c>
      <c r="Q39" s="35">
        <f>+Nutrition!AI39</f>
        <v>116777.3925182993</v>
      </c>
      <c r="R39" s="41">
        <v>0</v>
      </c>
      <c r="S39" s="35">
        <f>+('Tax Credits'!O39*'Low Income Pop'!H39)+('Tax Credits'!P39*'Pop Data'!AA39)</f>
        <v>225855.06298172299</v>
      </c>
      <c r="T39" s="35">
        <f t="shared" si="1"/>
        <v>950957.93425236503</v>
      </c>
    </row>
    <row r="40" spans="1:20" x14ac:dyDescent="0.2">
      <c r="A40" s="41" t="s">
        <v>17</v>
      </c>
      <c r="B40" s="41">
        <v>0</v>
      </c>
      <c r="C40" s="35">
        <f>+PreSchool!B40</f>
        <v>61000</v>
      </c>
      <c r="D40" s="35">
        <f>+'Head Start'!J40</f>
        <v>56636.920577596597</v>
      </c>
      <c r="E40" s="35">
        <f>+Medicaid!J40*'Low Income Pop'!H40</f>
        <v>151961.18189596265</v>
      </c>
      <c r="F40" s="35">
        <f>+CHIP!E40*'Low Income Pop'!H40</f>
        <v>29468.218930033941</v>
      </c>
      <c r="G40" s="35">
        <f>+'Mental Health'!H40*'Pop Data'!AA40</f>
        <v>16689.367675211935</v>
      </c>
      <c r="H40" s="35">
        <f>+Immunizations!E40*'Pop Data'!AA40</f>
        <v>4286.5011501526797</v>
      </c>
      <c r="I40" s="35">
        <f>+MCHBG!I40*'Pop Data'!AA40</f>
        <v>4555.3772336177008</v>
      </c>
      <c r="J40" s="35">
        <f>+'Title IV-E'!U40</f>
        <v>18896.054854654296</v>
      </c>
      <c r="K40" s="35">
        <f>+'CW - State and Local Share'!D40*'Pop Data'!AA40</f>
        <v>22406.26635092677</v>
      </c>
      <c r="L40" s="35">
        <f>+'Child Care &amp; Dev Fd'!G40*'Child Care &amp; Dev Fd'!U40</f>
        <v>21396.5</v>
      </c>
      <c r="M40" s="35">
        <f>+'Title IV-B'!G40</f>
        <v>636.23569544416159</v>
      </c>
      <c r="N40" s="35">
        <f>+'Title IV-D'!E40*'Pop Data'!AA40</f>
        <v>12833.129495575304</v>
      </c>
      <c r="O40" s="35">
        <f>+'Title XX'!E40*0.001</f>
        <v>3294.9156520000001</v>
      </c>
      <c r="P40" s="35">
        <f>+TANF!E40*TANF!W40</f>
        <v>49043.845494148241</v>
      </c>
      <c r="Q40" s="35">
        <f>+Nutrition!AI40</f>
        <v>134786.4258690695</v>
      </c>
      <c r="R40" s="41">
        <v>0</v>
      </c>
      <c r="S40" s="35">
        <f>+('Tax Credits'!O40*'Low Income Pop'!H40)+('Tax Credits'!P40*'Pop Data'!AA40)</f>
        <v>172200.84671044248</v>
      </c>
      <c r="T40" s="35">
        <f t="shared" si="1"/>
        <v>760091.78758483636</v>
      </c>
    </row>
    <row r="41" spans="1:20" x14ac:dyDescent="0.2">
      <c r="A41" s="41" t="s">
        <v>18</v>
      </c>
      <c r="B41" s="41">
        <v>0</v>
      </c>
      <c r="C41" s="35">
        <f>+PreSchool!B41</f>
        <v>157592</v>
      </c>
      <c r="D41" s="35">
        <f>+'Head Start'!J41</f>
        <v>220391.37294795312</v>
      </c>
      <c r="E41" s="35">
        <f>+Medicaid!J41*'Low Income Pop'!H41</f>
        <v>688735.37870362529</v>
      </c>
      <c r="F41" s="35">
        <f>+CHIP!E41*'Low Income Pop'!H41</f>
        <v>63070.399535480792</v>
      </c>
      <c r="G41" s="35">
        <f>+'Mental Health'!H41*'Pop Data'!AA41</f>
        <v>217895.44430353233</v>
      </c>
      <c r="H41" s="35">
        <f>+Immunizations!E41*'Pop Data'!AA41</f>
        <v>13465.558898952539</v>
      </c>
      <c r="I41" s="35">
        <f>+MCHBG!I41*'Pop Data'!AA41</f>
        <v>8433.3948109452249</v>
      </c>
      <c r="J41" s="35">
        <f>+'Title IV-E'!U41</f>
        <v>41589.91264128896</v>
      </c>
      <c r="K41" s="35">
        <f>+'CW - State and Local Share'!D41*'Pop Data'!AA41</f>
        <v>138395.10333118442</v>
      </c>
      <c r="L41" s="35">
        <f>+'Child Care &amp; Dev Fd'!G41*'Child Care &amp; Dev Fd'!U41</f>
        <v>112980.66</v>
      </c>
      <c r="M41" s="35">
        <f>+'Title IV-B'!G41</f>
        <v>2157.2791445162006</v>
      </c>
      <c r="N41" s="35">
        <f>+'Title IV-D'!E41*'Pop Data'!AA41</f>
        <v>43354.345650448675</v>
      </c>
      <c r="O41" s="35">
        <f>+'Title XX'!E41*0.001</f>
        <v>11697.161299504236</v>
      </c>
      <c r="P41" s="35">
        <f>+TANF!E41*TANF!W41</f>
        <v>133918.12076926269</v>
      </c>
      <c r="Q41" s="35">
        <f>+Nutrition!AI41</f>
        <v>310514.43999885628</v>
      </c>
      <c r="R41" s="41">
        <v>0</v>
      </c>
      <c r="S41" s="35">
        <f>+('Tax Credits'!O41*'Low Income Pop'!H41)+('Tax Credits'!P41*'Pop Data'!AA41)</f>
        <v>501137.78925763769</v>
      </c>
      <c r="T41" s="35">
        <f t="shared" si="1"/>
        <v>2665328.3612931888</v>
      </c>
    </row>
    <row r="42" spans="1:20" x14ac:dyDescent="0.2">
      <c r="A42" s="41" t="s">
        <v>19</v>
      </c>
      <c r="B42" s="41">
        <v>0</v>
      </c>
      <c r="C42" s="35">
        <f>+PreSchool!B42</f>
        <v>358</v>
      </c>
      <c r="D42" s="35">
        <f>+'Head Start'!J42</f>
        <v>18184.247264659272</v>
      </c>
      <c r="E42" s="35">
        <f>+Medicaid!J42*'Low Income Pop'!H42</f>
        <v>74209.452845299238</v>
      </c>
      <c r="F42" s="35">
        <f>+CHIP!E42*'Low Income Pop'!H42</f>
        <v>8808.1047522462686</v>
      </c>
      <c r="G42" s="35">
        <f>+'Mental Health'!H42*'Pop Data'!AA42</f>
        <v>0</v>
      </c>
      <c r="H42" s="35">
        <f>+Immunizations!E42*'Pop Data'!AA42</f>
        <v>1716.6929184844371</v>
      </c>
      <c r="I42" s="35">
        <f>+MCHBG!I42*'Pop Data'!AA42</f>
        <v>369.8961933534743</v>
      </c>
      <c r="J42" s="35">
        <f>+'Title IV-E'!U42</f>
        <v>2009.5746881011114</v>
      </c>
      <c r="K42" s="35">
        <f>+'CW - State and Local Share'!D42*'Pop Data'!AA42</f>
        <v>11353.995121816015</v>
      </c>
      <c r="L42" s="35">
        <f>+'Child Care &amp; Dev Fd'!G42*'Child Care &amp; Dev Fd'!U42</f>
        <v>9832.94</v>
      </c>
      <c r="M42" s="35">
        <f>+'Title IV-B'!G42</f>
        <v>207.63643437120982</v>
      </c>
      <c r="N42" s="35">
        <f>+'Title IV-D'!E42*'Pop Data'!AA42</f>
        <v>2535.7828653787519</v>
      </c>
      <c r="O42" s="35">
        <f>+'Title XX'!E42*0.001</f>
        <v>2286.6608814875453</v>
      </c>
      <c r="P42" s="35">
        <f>+TANF!E42*TANF!W42</f>
        <v>19501.790914434339</v>
      </c>
      <c r="Q42" s="35">
        <f>+Nutrition!AI42</f>
        <v>34441.15139920621</v>
      </c>
      <c r="R42" s="41">
        <v>0</v>
      </c>
      <c r="S42" s="35">
        <f>+('Tax Credits'!O42*'Low Income Pop'!H42)+('Tax Credits'!P42*'Pop Data'!AA42)</f>
        <v>46556.140308378686</v>
      </c>
      <c r="T42" s="35">
        <f t="shared" si="1"/>
        <v>232372.06658721651</v>
      </c>
    </row>
    <row r="43" spans="1:20" x14ac:dyDescent="0.2">
      <c r="A43" s="41" t="s">
        <v>20</v>
      </c>
      <c r="B43" s="41">
        <v>0</v>
      </c>
      <c r="C43" s="35">
        <f>+PreSchool!B43</f>
        <v>35709</v>
      </c>
      <c r="D43" s="35">
        <f>+'Head Start'!J43</f>
        <v>87438.288622868276</v>
      </c>
      <c r="E43" s="35">
        <f>+Medicaid!J43*'Low Income Pop'!H43</f>
        <v>189523.7352427805</v>
      </c>
      <c r="F43" s="35">
        <f>+CHIP!E43*'Low Income Pop'!H43</f>
        <v>18908.052225014701</v>
      </c>
      <c r="G43" s="35">
        <f>+'Mental Health'!H43*'Pop Data'!AA43</f>
        <v>7968.5291457979247</v>
      </c>
      <c r="H43" s="35">
        <f>+Immunizations!E43*'Pop Data'!AA43</f>
        <v>6329.7898645853593</v>
      </c>
      <c r="I43" s="35">
        <f>+MCHBG!I43*'Pop Data'!AA43</f>
        <v>2070.3028405179198</v>
      </c>
      <c r="J43" s="35">
        <f>+'Title IV-E'!U43</f>
        <v>6101.7551216380116</v>
      </c>
      <c r="K43" s="35">
        <f>+'CW - State and Local Share'!D43*'Pop Data'!AA43</f>
        <v>10106.362784582767</v>
      </c>
      <c r="L43" s="35">
        <f>+'Child Care &amp; Dev Fd'!G43*'Child Care &amp; Dev Fd'!U43</f>
        <v>26696.100000000002</v>
      </c>
      <c r="M43" s="35">
        <f>+'Title IV-B'!G43</f>
        <v>1513.1687544191332</v>
      </c>
      <c r="N43" s="35">
        <f>+'Title IV-D'!E43*'Pop Data'!AA43</f>
        <v>11170.987686211334</v>
      </c>
      <c r="O43" s="35">
        <f>+'Title XX'!E43*0.001</f>
        <v>1614.8488671113159</v>
      </c>
      <c r="P43" s="35">
        <f>+TANF!E43*TANF!W43</f>
        <v>23057.778061578651</v>
      </c>
      <c r="Q43" s="35">
        <f>+Nutrition!AI43</f>
        <v>157722.19194093929</v>
      </c>
      <c r="R43" s="41">
        <v>0</v>
      </c>
      <c r="S43" s="35">
        <f>+('Tax Credits'!O43*'Low Income Pop'!H43)+('Tax Credits'!P43*'Pop Data'!AA43)</f>
        <v>297978.12737173348</v>
      </c>
      <c r="T43" s="35">
        <f t="shared" si="1"/>
        <v>883909.01852977881</v>
      </c>
    </row>
    <row r="44" spans="1:20" x14ac:dyDescent="0.2">
      <c r="A44" s="41" t="s">
        <v>21</v>
      </c>
      <c r="B44" s="41">
        <v>0</v>
      </c>
      <c r="C44" s="35">
        <f>+PreSchool!B44</f>
        <v>0</v>
      </c>
      <c r="D44" s="35">
        <f>+'Head Start'!J44</f>
        <v>16229.67056220306</v>
      </c>
      <c r="E44" s="35">
        <f>+Medicaid!J44*'Low Income Pop'!H44</f>
        <v>42032.954081714175</v>
      </c>
      <c r="F44" s="35">
        <f>+CHIP!E44*'Low Income Pop'!H44</f>
        <v>4658.6815274828678</v>
      </c>
      <c r="G44" s="35">
        <f>+'Mental Health'!H44*'Pop Data'!AA44</f>
        <v>2389.8604841755623</v>
      </c>
      <c r="H44" s="35">
        <f>+Immunizations!E44*'Pop Data'!AA44</f>
        <v>1411.5662535546533</v>
      </c>
      <c r="I44" s="35">
        <f>+MCHBG!I44*'Pop Data'!AA44</f>
        <v>380.46321997952674</v>
      </c>
      <c r="J44" s="35">
        <f>+'Title IV-E'!U44</f>
        <v>1744.2839477981477</v>
      </c>
      <c r="K44" s="35">
        <f>+'CW - State and Local Share'!D44*'Pop Data'!AA44</f>
        <v>3258.8280493120897</v>
      </c>
      <c r="L44" s="35">
        <f>+'Child Care &amp; Dev Fd'!G44*'Child Care &amp; Dev Fd'!U44</f>
        <v>4188.2400000000007</v>
      </c>
      <c r="M44" s="35">
        <f>+'Title IV-B'!G44</f>
        <v>134.03086210589447</v>
      </c>
      <c r="N44" s="35">
        <f>+'Title IV-D'!E44*'Pop Data'!AA44</f>
        <v>1619.1505566466994</v>
      </c>
      <c r="O44" s="35">
        <f>+'Title XX'!E44*0.001</f>
        <v>1010.9619478794228</v>
      </c>
      <c r="P44" s="35">
        <f>+TANF!E44*TANF!W44</f>
        <v>3663.4233719049603</v>
      </c>
      <c r="Q44" s="35">
        <f>+Nutrition!AI44</f>
        <v>23118.759577130117</v>
      </c>
      <c r="R44" s="41">
        <v>0</v>
      </c>
      <c r="S44" s="35">
        <f>+('Tax Credits'!O44*'Low Income Pop'!H44)+('Tax Credits'!P44*'Pop Data'!AA44)</f>
        <v>44263.096812352829</v>
      </c>
      <c r="T44" s="35">
        <f t="shared" si="1"/>
        <v>150103.97125424002</v>
      </c>
    </row>
    <row r="45" spans="1:20" x14ac:dyDescent="0.2">
      <c r="A45" s="41" t="s">
        <v>22</v>
      </c>
      <c r="B45" s="41">
        <v>0</v>
      </c>
      <c r="C45" s="35">
        <f>+PreSchool!B45</f>
        <v>84255</v>
      </c>
      <c r="D45" s="35">
        <f>+'Head Start'!J45</f>
        <v>123343.64556009223</v>
      </c>
      <c r="E45" s="35">
        <f>+Medicaid!J45*'Low Income Pop'!H45</f>
        <v>384516.28008681943</v>
      </c>
      <c r="F45" s="35">
        <f>+CHIP!E45*'Low Income Pop'!H45</f>
        <v>37627.408582587181</v>
      </c>
      <c r="G45" s="35">
        <f>+'Mental Health'!H45*'Pop Data'!AA45</f>
        <v>20368.660663540322</v>
      </c>
      <c r="H45" s="35">
        <f>+Immunizations!E45*'Pop Data'!AA45</f>
        <v>9137.8719905168346</v>
      </c>
      <c r="I45" s="35">
        <f>+MCHBG!I45*'Pop Data'!AA45</f>
        <v>2786.0756984449963</v>
      </c>
      <c r="J45" s="35">
        <f>+'Title IV-E'!U45</f>
        <v>9646.2728544808087</v>
      </c>
      <c r="K45" s="35">
        <f>+'CW - State and Local Share'!D45*'Pop Data'!AA45</f>
        <v>27952.378282428032</v>
      </c>
      <c r="L45" s="35">
        <f>+'Child Care &amp; Dev Fd'!G45*'Child Care &amp; Dev Fd'!U45</f>
        <v>54234.320000000007</v>
      </c>
      <c r="M45" s="35">
        <f>+'Title IV-B'!G45</f>
        <v>2078.2823110097734</v>
      </c>
      <c r="N45" s="35">
        <f>+'Title IV-D'!E45*'Pop Data'!AA45</f>
        <v>16289.629123115146</v>
      </c>
      <c r="O45" s="35">
        <f>+'Title XX'!E45*0.001</f>
        <v>3146.6447091773657</v>
      </c>
      <c r="P45" s="35">
        <f>+TANF!E45*TANF!W45</f>
        <v>53125.943169722435</v>
      </c>
      <c r="Q45" s="35">
        <f>+Nutrition!AI45</f>
        <v>236890.99881845724</v>
      </c>
      <c r="R45" s="41">
        <v>0</v>
      </c>
      <c r="S45" s="35">
        <f>+('Tax Credits'!O45*'Low Income Pop'!H45)+('Tax Credits'!P45*'Pop Data'!AA45)</f>
        <v>379771.16283339961</v>
      </c>
      <c r="T45" s="35">
        <f t="shared" si="1"/>
        <v>1445170.5746837913</v>
      </c>
    </row>
    <row r="46" spans="1:20" x14ac:dyDescent="0.2">
      <c r="A46" s="41" t="s">
        <v>23</v>
      </c>
      <c r="B46" s="41">
        <v>0</v>
      </c>
      <c r="C46" s="35">
        <f>+PreSchool!B46</f>
        <v>727213</v>
      </c>
      <c r="D46" s="35">
        <f>+'Head Start'!J46</f>
        <v>466288.21060777607</v>
      </c>
      <c r="E46" s="35">
        <f>+Medicaid!J46*'Low Income Pop'!H46</f>
        <v>1775543.2390320781</v>
      </c>
      <c r="F46" s="35">
        <f>+CHIP!E46*'Low Income Pop'!H46</f>
        <v>180423.38296995833</v>
      </c>
      <c r="G46" s="35">
        <f>+'Mental Health'!H46*'Pop Data'!AA46</f>
        <v>13995.814230582544</v>
      </c>
      <c r="H46" s="35">
        <f>+Immunizations!E46*'Pop Data'!AA46</f>
        <v>46470.084717610232</v>
      </c>
      <c r="I46" s="35">
        <f>+MCHBG!I46*'Pop Data'!AA46</f>
        <v>8822.9419076038721</v>
      </c>
      <c r="J46" s="35">
        <f>+'Title IV-E'!U46</f>
        <v>53005.361388736666</v>
      </c>
      <c r="K46" s="35">
        <f>+'CW - State and Local Share'!D46*'Pop Data'!AA46</f>
        <v>68710.841567249619</v>
      </c>
      <c r="L46" s="35">
        <f>+'Child Care &amp; Dev Fd'!G46*'Child Care &amp; Dev Fd'!U46</f>
        <v>171377.08000000002</v>
      </c>
      <c r="M46" s="35">
        <f>+'Title IV-B'!G46</f>
        <v>6520.277969746794</v>
      </c>
      <c r="N46" s="35">
        <f>+'Title IV-D'!E46*'Pop Data'!AA46</f>
        <v>60732.148643667388</v>
      </c>
      <c r="O46" s="35">
        <f>+'Title XX'!E46*0.001</f>
        <v>4795.3967098043659</v>
      </c>
      <c r="P46" s="35">
        <f>+TANF!E46*TANF!W46</f>
        <v>130686.56861693338</v>
      </c>
      <c r="Q46" s="35">
        <f>+Nutrition!AI46</f>
        <v>737036.57103403134</v>
      </c>
      <c r="R46" s="41">
        <v>0</v>
      </c>
      <c r="S46" s="35">
        <f>+('Tax Credits'!O46*'Low Income Pop'!H46)+('Tax Credits'!P46*'Pop Data'!AA46)</f>
        <v>1690548.144362445</v>
      </c>
      <c r="T46" s="35">
        <f t="shared" si="1"/>
        <v>6142169.0637582233</v>
      </c>
    </row>
    <row r="47" spans="1:20" x14ac:dyDescent="0.2">
      <c r="A47" s="41" t="s">
        <v>24</v>
      </c>
      <c r="B47" s="41">
        <v>0</v>
      </c>
      <c r="C47" s="35">
        <f>+PreSchool!B47</f>
        <v>0</v>
      </c>
      <c r="D47" s="35">
        <f>+'Head Start'!J47</f>
        <v>37085.83992170819</v>
      </c>
      <c r="E47" s="35">
        <f>+Medicaid!J47*'Low Income Pop'!H47</f>
        <v>101285.75426913291</v>
      </c>
      <c r="F47" s="35">
        <f>+CHIP!E47*'Low Income Pop'!H47</f>
        <v>11757.580321049576</v>
      </c>
      <c r="G47" s="35">
        <f>+'Mental Health'!H47*'Pop Data'!AA47</f>
        <v>6663.0564956123962</v>
      </c>
      <c r="H47" s="35">
        <f>+Immunizations!E47*'Pop Data'!AA47</f>
        <v>3423.4726482051237</v>
      </c>
      <c r="I47" s="35">
        <f>+MCHBG!I47*'Pop Data'!AA47</f>
        <v>2047.1378562477196</v>
      </c>
      <c r="J47" s="35">
        <f>+'Title IV-E'!U47</f>
        <v>3631.8249137675516</v>
      </c>
      <c r="K47" s="35">
        <f>+'CW - State and Local Share'!D47*'Pop Data'!AA47</f>
        <v>10101.49808552522</v>
      </c>
      <c r="L47" s="35">
        <f>+'Child Care &amp; Dev Fd'!G47*'Child Care &amp; Dev Fd'!U47</f>
        <v>16364.400000000001</v>
      </c>
      <c r="M47" s="35">
        <f>+'Title IV-B'!G47</f>
        <v>521.45914417794131</v>
      </c>
      <c r="N47" s="35">
        <f>+'Title IV-D'!E47*'Pop Data'!AA47</f>
        <v>6828.9423157486945</v>
      </c>
      <c r="O47" s="35">
        <f>+'Title XX'!E47*0.001</f>
        <v>1674.3296911859461</v>
      </c>
      <c r="P47" s="35">
        <f>+TANF!E47*TANF!W47</f>
        <v>13150.507253552161</v>
      </c>
      <c r="Q47" s="35">
        <f>+Nutrition!AI47</f>
        <v>54365.455680920386</v>
      </c>
      <c r="R47" s="41">
        <v>0</v>
      </c>
      <c r="S47" s="35">
        <f>+('Tax Credits'!O47*'Low Income Pop'!H47)+('Tax Credits'!P47*'Pop Data'!AA47)</f>
        <v>162694.26112878416</v>
      </c>
      <c r="T47" s="35">
        <f t="shared" si="1"/>
        <v>431595.51972561795</v>
      </c>
    </row>
    <row r="48" spans="1:20" x14ac:dyDescent="0.2">
      <c r="A48" s="41" t="s">
        <v>25</v>
      </c>
      <c r="B48" s="41">
        <v>0</v>
      </c>
      <c r="C48" s="35">
        <f>+PreSchool!B48</f>
        <v>20374</v>
      </c>
      <c r="D48" s="35">
        <f>+'Head Start'!J48</f>
        <v>10171.306347983455</v>
      </c>
      <c r="E48" s="35">
        <f>+Medicaid!J48*'Low Income Pop'!H48</f>
        <v>63209.842523881183</v>
      </c>
      <c r="F48" s="35">
        <f>+CHIP!E48*'Low Income Pop'!H48</f>
        <v>1397.9703335742736</v>
      </c>
      <c r="G48" s="35">
        <f>+'Mental Health'!H48*'Pop Data'!AA48</f>
        <v>7712.7240348371952</v>
      </c>
      <c r="H48" s="35">
        <f>+Immunizations!E48*'Pop Data'!AA48</f>
        <v>905.77991122298329</v>
      </c>
      <c r="I48" s="35">
        <f>+MCHBG!I48*'Pop Data'!AA48</f>
        <v>333.19777476583488</v>
      </c>
      <c r="J48" s="35">
        <f>+'Title IV-E'!U48</f>
        <v>2210.8034700002418</v>
      </c>
      <c r="K48" s="35">
        <f>+'CW - State and Local Share'!D48*'Pop Data'!AA48</f>
        <v>3749.0745213834502</v>
      </c>
      <c r="L48" s="35">
        <f>+'Child Care &amp; Dev Fd'!G48*'Child Care &amp; Dev Fd'!U48</f>
        <v>7812</v>
      </c>
      <c r="M48" s="35">
        <f>+'Title IV-B'!G48</f>
        <v>115.51219992599923</v>
      </c>
      <c r="N48" s="35">
        <f>+'Title IV-D'!E48*'Pop Data'!AA48</f>
        <v>2370.6963235472081</v>
      </c>
      <c r="O48" s="35">
        <f>+'Title XX'!E48*0.001</f>
        <v>893.25459202244429</v>
      </c>
      <c r="P48" s="35">
        <f>+TANF!E48*TANF!W48</f>
        <v>9708.2718623465789</v>
      </c>
      <c r="Q48" s="35">
        <f>+Nutrition!AI48</f>
        <v>18244.698864614958</v>
      </c>
      <c r="R48" s="41">
        <v>0</v>
      </c>
      <c r="S48" s="35">
        <f>+('Tax Credits'!O48*'Low Income Pop'!H48)+('Tax Credits'!P48*'Pop Data'!AA48)</f>
        <v>26612.538485808029</v>
      </c>
      <c r="T48" s="35">
        <f t="shared" si="1"/>
        <v>175821.67124591384</v>
      </c>
    </row>
    <row r="49" spans="1:20" x14ac:dyDescent="0.2">
      <c r="A49" s="41" t="s">
        <v>26</v>
      </c>
      <c r="B49" s="41">
        <v>0</v>
      </c>
      <c r="C49" s="35">
        <f>+PreSchool!B49</f>
        <v>62780</v>
      </c>
      <c r="D49" s="35">
        <f>+'Head Start'!J49</f>
        <v>96164.634655738657</v>
      </c>
      <c r="E49" s="35">
        <f>+Medicaid!J49*'Low Income Pop'!H49</f>
        <v>296011.69677355618</v>
      </c>
      <c r="F49" s="35">
        <f>+CHIP!E49*'Low Income Pop'!H49</f>
        <v>41961.729005718997</v>
      </c>
      <c r="G49" s="35">
        <f>+'Mental Health'!H49*'Pop Data'!AA49</f>
        <v>14039.33728112688</v>
      </c>
      <c r="H49" s="35">
        <f>+Immunizations!E49*'Pop Data'!AA49</f>
        <v>7623.0343993807419</v>
      </c>
      <c r="I49" s="35">
        <f>+MCHBG!I49*'Pop Data'!AA49</f>
        <v>2216.0373290369071</v>
      </c>
      <c r="J49" s="35">
        <f>+'Title IV-E'!U49</f>
        <v>11234.777747580838</v>
      </c>
      <c r="K49" s="35">
        <f>+'CW - State and Local Share'!D49*'Pop Data'!AA49</f>
        <v>54651.249783356499</v>
      </c>
      <c r="L49" s="35">
        <f>+'Child Care &amp; Dev Fd'!G49*'Child Care &amp; Dev Fd'!U49</f>
        <v>47774.61</v>
      </c>
      <c r="M49" s="35">
        <f>+'Title IV-B'!G49</f>
        <v>1667.3498089133718</v>
      </c>
      <c r="N49" s="35">
        <f>+'Title IV-D'!E49*'Pop Data'!AA49</f>
        <v>17867.007700067377</v>
      </c>
      <c r="O49" s="35">
        <f>+'Title XX'!E49*0.001</f>
        <v>4605.3734972783323</v>
      </c>
      <c r="P49" s="35">
        <f>+TANF!E49*TANF!W49</f>
        <v>41813.431294227288</v>
      </c>
      <c r="Q49" s="35">
        <f>+Nutrition!AI49</f>
        <v>201928.42068851259</v>
      </c>
      <c r="R49" s="41">
        <v>0</v>
      </c>
      <c r="S49" s="35">
        <f>+('Tax Credits'!O49*'Low Income Pop'!H49)+('Tax Credits'!P49*'Pop Data'!AA49)</f>
        <v>406153.36884843698</v>
      </c>
      <c r="T49" s="35">
        <f t="shared" si="1"/>
        <v>1308492.0588129316</v>
      </c>
    </row>
    <row r="50" spans="1:20" x14ac:dyDescent="0.2">
      <c r="A50" s="41" t="s">
        <v>27</v>
      </c>
      <c r="B50" s="41">
        <v>0</v>
      </c>
      <c r="C50" s="35">
        <f>+PreSchool!B50</f>
        <v>57056</v>
      </c>
      <c r="D50" s="35">
        <f>+'Head Start'!J50</f>
        <v>80845.086540700257</v>
      </c>
      <c r="E50" s="35">
        <f>+Medicaid!J50*'Low Income Pop'!H50</f>
        <v>330449.38339969848</v>
      </c>
      <c r="F50" s="35">
        <f>+CHIP!E50*'Low Income Pop'!H50</f>
        <v>10785.806874335882</v>
      </c>
      <c r="G50" s="35">
        <f>+'Mental Health'!H50*'Pop Data'!AA50</f>
        <v>18276.910970884968</v>
      </c>
      <c r="H50" s="35">
        <f>+Immunizations!E50*'Pop Data'!AA50</f>
        <v>12727.047455170992</v>
      </c>
      <c r="I50" s="35">
        <f>+MCHBG!I50*'Pop Data'!AA50</f>
        <v>1799.8900747586545</v>
      </c>
      <c r="J50" s="35">
        <f>+'Title IV-E'!U50</f>
        <v>23965.600847373476</v>
      </c>
      <c r="K50" s="35">
        <f>+'CW - State and Local Share'!D50*'Pop Data'!AA50</f>
        <v>31181.942967897758</v>
      </c>
      <c r="L50" s="35">
        <f>+'Child Care &amp; Dev Fd'!G50*'Child Care &amp; Dev Fd'!U50</f>
        <v>75211.920000000013</v>
      </c>
      <c r="M50" s="35">
        <f>+'Title IV-B'!G50</f>
        <v>1306.1491491064758</v>
      </c>
      <c r="N50" s="35">
        <f>+'Title IV-D'!E50*'Pop Data'!AA50</f>
        <v>25972.261731632268</v>
      </c>
      <c r="O50" s="35">
        <f>+'Title XX'!E50*0.001</f>
        <v>6253.1434734027252</v>
      </c>
      <c r="P50" s="35">
        <f>+TANF!E50*TANF!W50</f>
        <v>148715.35423677569</v>
      </c>
      <c r="Q50" s="35">
        <f>+Nutrition!AI50</f>
        <v>195297.63608264038</v>
      </c>
      <c r="R50" s="41">
        <v>0</v>
      </c>
      <c r="S50" s="35">
        <f>+('Tax Credits'!O50*'Low Income Pop'!H50)+('Tax Credits'!P50*'Pop Data'!AA50)</f>
        <v>282393.2625541843</v>
      </c>
      <c r="T50" s="35">
        <f t="shared" si="1"/>
        <v>1302237.3963585622</v>
      </c>
    </row>
    <row r="51" spans="1:20" x14ac:dyDescent="0.2">
      <c r="A51" s="41" t="s">
        <v>28</v>
      </c>
      <c r="B51" s="41">
        <v>0</v>
      </c>
      <c r="C51" s="35">
        <f>+PreSchool!B51</f>
        <v>91644</v>
      </c>
      <c r="D51" s="35">
        <f>+'Head Start'!J51</f>
        <v>51056.462655835188</v>
      </c>
      <c r="E51" s="35">
        <f>+Medicaid!J51*'Low Income Pop'!H51</f>
        <v>99477.073503743522</v>
      </c>
      <c r="F51" s="35">
        <f>+CHIP!E51*'Low Income Pop'!H51</f>
        <v>8855.2912133891696</v>
      </c>
      <c r="G51" s="35">
        <f>+'Mental Health'!H51*'Pop Data'!AA51</f>
        <v>620.56858227289626</v>
      </c>
      <c r="H51" s="35">
        <f>+Immunizations!E51*'Pop Data'!AA51</f>
        <v>2367.3485291336083</v>
      </c>
      <c r="I51" s="35">
        <f>+MCHBG!I51*'Pop Data'!AA51</f>
        <v>1748.5511857249617</v>
      </c>
      <c r="J51" s="35">
        <f>+'Title IV-E'!U51</f>
        <v>6186.2777869394158</v>
      </c>
      <c r="K51" s="35">
        <f>+'CW - State and Local Share'!D51*'Pop Data'!AA51</f>
        <v>15080.157540470938</v>
      </c>
      <c r="L51" s="35">
        <f>+'Child Care &amp; Dev Fd'!G51*'Child Care &amp; Dev Fd'!U51</f>
        <v>11462.04</v>
      </c>
      <c r="M51" s="35">
        <f>+'Title IV-B'!G51</f>
        <v>536.99302021848007</v>
      </c>
      <c r="N51" s="35">
        <f>+'Title IV-D'!E51*'Pop Data'!AA51</f>
        <v>7760.6530995388512</v>
      </c>
      <c r="O51" s="35">
        <f>+'Title XX'!E51*0.001</f>
        <v>2297.855329716444</v>
      </c>
      <c r="P51" s="35">
        <f>+TANF!E51*TANF!W51</f>
        <v>19063.218576719133</v>
      </c>
      <c r="Q51" s="35">
        <f>+Nutrition!AI51</f>
        <v>55544.532198828412</v>
      </c>
      <c r="R51" s="41">
        <v>0</v>
      </c>
      <c r="S51" s="35">
        <f>+('Tax Credits'!O51*'Low Income Pop'!H51)+('Tax Credits'!P51*'Pop Data'!AA51)</f>
        <v>83458.851625132491</v>
      </c>
      <c r="T51" s="35">
        <f t="shared" si="1"/>
        <v>457159.87484766351</v>
      </c>
    </row>
    <row r="52" spans="1:20" x14ac:dyDescent="0.2">
      <c r="A52" s="41" t="s">
        <v>29</v>
      </c>
      <c r="B52" s="41">
        <v>0</v>
      </c>
      <c r="C52" s="35">
        <f>+PreSchool!B52</f>
        <v>153864</v>
      </c>
      <c r="D52" s="35">
        <f>+'Head Start'!J52</f>
        <v>86575.058489509058</v>
      </c>
      <c r="E52" s="35">
        <f>+Medicaid!J52*'Low Income Pop'!H52</f>
        <v>177665.19730373737</v>
      </c>
      <c r="F52" s="35">
        <f>+CHIP!E52*'Low Income Pop'!H52</f>
        <v>20589.541447903219</v>
      </c>
      <c r="G52" s="35">
        <f>+'Mental Health'!H52*'Pop Data'!AA52</f>
        <v>2241.757165754198</v>
      </c>
      <c r="H52" s="35">
        <f>+Immunizations!E52*'Pop Data'!AA52</f>
        <v>5977.4398234163691</v>
      </c>
      <c r="I52" s="35">
        <f>+MCHBG!I52*'Pop Data'!AA52</f>
        <v>1974.8192807309285</v>
      </c>
      <c r="J52" s="35">
        <f>+'Title IV-E'!U52</f>
        <v>18890.957039367557</v>
      </c>
      <c r="K52" s="35">
        <f>+'CW - State and Local Share'!D52*'Pop Data'!AA52</f>
        <v>31120.85680467714</v>
      </c>
      <c r="L52" s="35">
        <f>+'Child Care &amp; Dev Fd'!G52*'Child Care &amp; Dev Fd'!U52</f>
        <v>51402.87</v>
      </c>
      <c r="M52" s="35">
        <f>+'Title IV-B'!G52</f>
        <v>1132.403928555613</v>
      </c>
      <c r="N52" s="35">
        <f>+'Title IV-D'!E52*'Pop Data'!AA52</f>
        <v>18305.061462995531</v>
      </c>
      <c r="O52" s="35">
        <f>+'Title XX'!E52*0.001</f>
        <v>4298.9577682319787</v>
      </c>
      <c r="P52" s="35">
        <f>+TANF!E52*TANF!W52</f>
        <v>72662.916627298138</v>
      </c>
      <c r="Q52" s="35">
        <f>+Nutrition!AI52</f>
        <v>136424.66855119701</v>
      </c>
      <c r="R52" s="41">
        <v>0</v>
      </c>
      <c r="S52" s="35">
        <f>+('Tax Credits'!O52*'Low Income Pop'!H52)+('Tax Credits'!P52*'Pop Data'!AA52)</f>
        <v>257602.81197057138</v>
      </c>
      <c r="T52" s="35">
        <f t="shared" si="1"/>
        <v>1040729.3176639455</v>
      </c>
    </row>
    <row r="53" spans="1:20" x14ac:dyDescent="0.2">
      <c r="A53" s="41" t="s">
        <v>30</v>
      </c>
      <c r="B53" s="41">
        <v>0</v>
      </c>
      <c r="C53" s="35">
        <f>+PreSchool!B53</f>
        <v>0</v>
      </c>
      <c r="D53" s="35">
        <f>+'Head Start'!J53</f>
        <v>10380.204464743591</v>
      </c>
      <c r="E53" s="35">
        <f>+Medicaid!J53*'Low Income Pop'!H53</f>
        <v>22182.416750128181</v>
      </c>
      <c r="F53" s="35">
        <f>+CHIP!E53*'Low Income Pop'!H53</f>
        <v>2531.1573563226402</v>
      </c>
      <c r="G53" s="35">
        <f>+'Mental Health'!H53*'Pop Data'!AA53</f>
        <v>177.98524135269903</v>
      </c>
      <c r="H53" s="35">
        <f>+Immunizations!E53*'Pop Data'!AA53</f>
        <v>899.78956948852317</v>
      </c>
      <c r="I53" s="35">
        <f>+MCHBG!I53*'Pop Data'!AA53</f>
        <v>327.19923950107017</v>
      </c>
      <c r="J53" s="35">
        <f>+'Title IV-E'!U53</f>
        <v>491.86013012030412</v>
      </c>
      <c r="K53" s="35">
        <f>+'CW - State and Local Share'!D53*'Pop Data'!AA53</f>
        <v>3179.7138608015352</v>
      </c>
      <c r="L53" s="35">
        <f>+'Child Care &amp; Dev Fd'!G53*'Child Care &amp; Dev Fd'!U53</f>
        <v>6106.69</v>
      </c>
      <c r="M53" s="35">
        <f>+'Title IV-B'!G53</f>
        <v>0</v>
      </c>
      <c r="N53" s="35">
        <f>+'Title IV-D'!E53*'Pop Data'!AA53</f>
        <v>1938.1351317440401</v>
      </c>
      <c r="O53" s="35">
        <f>+'Title XX'!E53*0.001</f>
        <v>731.14777277794724</v>
      </c>
      <c r="P53" s="35">
        <f>+TANF!E53*TANF!W53</f>
        <v>3621.7860051705343</v>
      </c>
      <c r="Q53" s="35">
        <f>+Nutrition!AI53</f>
        <v>7514.4256321092198</v>
      </c>
      <c r="R53" s="41">
        <v>0</v>
      </c>
      <c r="S53" s="35">
        <f>+('Tax Credits'!O53*'Low Income Pop'!H53)+('Tax Credits'!P53*'Pop Data'!AA53)</f>
        <v>26301.595281001471</v>
      </c>
      <c r="T53" s="35">
        <f t="shared" si="1"/>
        <v>86384.106435261754</v>
      </c>
    </row>
    <row r="54" spans="1:20" ht="16" thickBot="1" x14ac:dyDescent="0.25"/>
    <row r="55" spans="1:20" ht="17" thickTop="1" thickBot="1" x14ac:dyDescent="0.25">
      <c r="A55" s="38" t="s">
        <v>39</v>
      </c>
      <c r="B55" s="80">
        <f>SUM(B4:B53)</f>
        <v>0</v>
      </c>
      <c r="C55" s="81">
        <f t="shared" ref="C55:T55" si="2">SUM(C4:C53)</f>
        <v>5253037</v>
      </c>
      <c r="D55" s="81">
        <f t="shared" si="2"/>
        <v>5645456.9127272954</v>
      </c>
      <c r="E55" s="81">
        <f t="shared" si="2"/>
        <v>15478307.717343656</v>
      </c>
      <c r="F55" s="81">
        <f t="shared" si="2"/>
        <v>1774935.1588429471</v>
      </c>
      <c r="G55" s="81">
        <f t="shared" si="2"/>
        <v>1178335.9398705664</v>
      </c>
      <c r="H55" s="81">
        <f t="shared" si="2"/>
        <v>436245.27254066063</v>
      </c>
      <c r="I55" s="81">
        <f t="shared" si="2"/>
        <v>277890.48555888166</v>
      </c>
      <c r="J55" s="81">
        <f t="shared" si="2"/>
        <v>966392.12721768243</v>
      </c>
      <c r="K55" s="81">
        <f t="shared" si="2"/>
        <v>1649349.3207364646</v>
      </c>
      <c r="L55" s="81">
        <f t="shared" si="2"/>
        <v>2409021.09</v>
      </c>
      <c r="M55" s="81">
        <f t="shared" si="2"/>
        <v>70242.118144653898</v>
      </c>
      <c r="N55" s="81">
        <f t="shared" si="2"/>
        <v>1034861.416324784</v>
      </c>
      <c r="O55" s="81">
        <f t="shared" si="2"/>
        <v>274266.25897423993</v>
      </c>
      <c r="P55" s="81">
        <f t="shared" si="2"/>
        <v>4080672.2489893334</v>
      </c>
      <c r="Q55" s="81">
        <f t="shared" si="2"/>
        <v>8707846.767392043</v>
      </c>
      <c r="R55" s="81">
        <f t="shared" si="2"/>
        <v>0</v>
      </c>
      <c r="S55" s="81">
        <f t="shared" si="2"/>
        <v>16514482.716785355</v>
      </c>
      <c r="T55" s="82">
        <f t="shared" si="2"/>
        <v>65751342.551448576</v>
      </c>
    </row>
    <row r="56" spans="1:20" ht="16" thickTop="1" x14ac:dyDescent="0.2"/>
  </sheetData>
  <sortState ref="A4:W53">
    <sortCondition ref="A4:A53"/>
  </sortState>
  <phoneticPr fontId="8" type="noConversion"/>
  <printOptions horizontalCentered="1" verticalCentered="1"/>
  <pageMargins left="0.7" right="0.7" top="0.75" bottom="0.75" header="0.3" footer="0.3"/>
  <pageSetup paperSize="5" scale="55" orientation="landscape"/>
  <headerFooter>
    <oddHeader>&amp;C&amp;"-,Bold"&amp;18Public Spending for Children and their Families - Ages 3 and 4</oddHeader>
    <oddFooter>&amp;L&amp;D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tabColor rgb="FFCCFF33"/>
    <pageSetUpPr fitToPage="1"/>
  </sheetPr>
  <dimension ref="A1:T56"/>
  <sheetViews>
    <sheetView topLeftCell="M1" zoomScale="145" zoomScaleNormal="145" zoomScalePageLayoutView="145" workbookViewId="0">
      <selection activeCell="Q4" sqref="Q4"/>
    </sheetView>
  </sheetViews>
  <sheetFormatPr baseColWidth="10" defaultColWidth="8.83203125" defaultRowHeight="15" x14ac:dyDescent="0.2"/>
  <cols>
    <col min="1" max="1" width="14.5" customWidth="1"/>
    <col min="2" max="3" width="12.6640625" customWidth="1"/>
    <col min="4" max="4" width="12.6640625" style="4" customWidth="1"/>
    <col min="5" max="20" width="12.6640625" customWidth="1"/>
    <col min="21" max="21" width="5.33203125" customWidth="1"/>
    <col min="22" max="22" width="12.6640625" customWidth="1"/>
  </cols>
  <sheetData>
    <row r="1" spans="1:20" s="119" customFormat="1" ht="120" customHeight="1" thickBot="1" x14ac:dyDescent="0.25">
      <c r="A1" s="115"/>
      <c r="B1" s="116" t="str">
        <f>+Summary!B1</f>
        <v>K-12 Educ</v>
      </c>
      <c r="C1" s="116" t="str">
        <f>+Summary!C1</f>
        <v>Preschool</v>
      </c>
      <c r="D1" s="116" t="str">
        <f>+Summary!D1</f>
        <v>Head Start &amp; Early Intervention</v>
      </c>
      <c r="E1" s="116" t="str">
        <f>+Summary!E1</f>
        <v>Medicaid (including costs of disabled children)</v>
      </c>
      <c r="F1" s="116" t="str">
        <f>+Summary!F1</f>
        <v>CHIP</v>
      </c>
      <c r="G1" s="116" t="str">
        <f>+Summary!G1</f>
        <v>Mental Health Programs</v>
      </c>
      <c r="H1" s="116" t="str">
        <f>+Summary!H1</f>
        <v>Immun-izations</v>
      </c>
      <c r="I1" s="116" t="str">
        <f>+Summary!I1</f>
        <v>Maternal &amp; Child Health Block Grant</v>
      </c>
      <c r="J1" s="116" t="str">
        <f>+Summary!J1</f>
        <v>Foster Care, Adoption Assistance, Guardianship (Title IV-E)</v>
      </c>
      <c r="K1" s="116" t="str">
        <f>+Summary!K1</f>
        <v xml:space="preserve">Child Welfare State and Local Share </v>
      </c>
      <c r="L1" s="116" t="str">
        <f>+Summary!L1</f>
        <v>Child Care &amp; Dev Fund</v>
      </c>
      <c r="M1" s="116" t="str">
        <f>+Summary!M1</f>
        <v>Child Welfare Services &amp; Promoting Safe and Stable Families           Title IV-B</v>
      </c>
      <c r="N1" s="116" t="str">
        <f>+Summary!N1</f>
        <v>Child Support Enforcement    Title IV-D</v>
      </c>
      <c r="O1" s="116" t="str">
        <f>+Summary!O1</f>
        <v>Child Welfare - TITLE XX</v>
      </c>
      <c r="P1" s="116" t="str">
        <f>+Summary!P1</f>
        <v>TANF</v>
      </c>
      <c r="Q1" s="116" t="str">
        <f>+Summary!Q1</f>
        <v>Nutrition (SNAP, WIC, CACFP)</v>
      </c>
      <c r="R1" s="116" t="str">
        <f>+Summary!R1</f>
        <v>Juvenile Justice</v>
      </c>
      <c r="S1" s="116" t="str">
        <f>+Summary!S1</f>
        <v>Tax Credits</v>
      </c>
      <c r="T1" s="116" t="str">
        <f>+Summary!T1</f>
        <v>Total</v>
      </c>
    </row>
    <row r="4" spans="1:20" x14ac:dyDescent="0.2">
      <c r="A4" s="41" t="s">
        <v>109</v>
      </c>
      <c r="B4" s="41">
        <v>0</v>
      </c>
      <c r="C4" s="35">
        <f>+'Summary Prenatal to 2'!C4+'Summary 3-4+'!C4</f>
        <v>19087</v>
      </c>
      <c r="D4" s="35">
        <f>+'Summary Prenatal to 2'!D4+'Summary 3-4+'!D4</f>
        <v>129210.72040659671</v>
      </c>
      <c r="E4" s="35">
        <f>+'Summary Prenatal to 2'!E4+'Summary 3-4+'!E4</f>
        <v>476224.42005222337</v>
      </c>
      <c r="F4" s="35">
        <f>+'Summary Prenatal to 2'!F4+'Summary 3-4+'!F4</f>
        <v>62052.791466247829</v>
      </c>
      <c r="G4" s="35">
        <f>+'Summary Prenatal to 2'!G4+'Summary 3-4+'!G4</f>
        <v>17299.735988699351</v>
      </c>
      <c r="H4" s="35">
        <f>+'Summary Prenatal to 2'!H4+'Summary 3-4+'!H4</f>
        <v>17509.209379942833</v>
      </c>
      <c r="I4" s="35">
        <f>+'Summary Prenatal to 2'!I4+'Summary 3-4+'!I4</f>
        <v>10068.131332196734</v>
      </c>
      <c r="J4" s="35">
        <f>+'Summary Prenatal to 2'!J4+'Summary 3-4+'!J4</f>
        <v>14688.569852389617</v>
      </c>
      <c r="K4" s="35">
        <f>+'Summary Prenatal to 2'!K4+'Summary 3-4+'!K4</f>
        <v>37854.643557576179</v>
      </c>
      <c r="L4" s="35">
        <f>+'Summary Prenatal to 2'!L4+'Summary 3-4+'!L4</f>
        <v>59114.13</v>
      </c>
      <c r="M4" s="35">
        <f>+'Summary Prenatal to 2'!M4+'Summary 3-4+'!M4</f>
        <v>3512.5848982965226</v>
      </c>
      <c r="N4" s="35">
        <f>+'Summary Prenatal to 2'!N4+'Summary 3-4+'!N4</f>
        <v>30504.274777971659</v>
      </c>
      <c r="O4" s="35">
        <f>+'Summary Prenatal to 2'!O4+'Summary 3-4+'!O4</f>
        <v>5331.6252833938679</v>
      </c>
      <c r="P4" s="35">
        <f>+'Summary Prenatal to 2'!P4+'Summary 3-4+'!P4</f>
        <v>69270.988585568615</v>
      </c>
      <c r="Q4" s="35">
        <f>+'Summary Prenatal to 2'!Q4+'Summary 3-4+'!Q4</f>
        <v>445322.25222271599</v>
      </c>
      <c r="R4" s="35">
        <f>+'Summary Prenatal to 2'!R4+'Summary 3-4+'!R4</f>
        <v>0</v>
      </c>
      <c r="S4" s="35">
        <f>+'Summary Prenatal to 2'!S4+'Summary 3-4+'!S4</f>
        <v>698467.82888526132</v>
      </c>
      <c r="T4" s="35">
        <f t="shared" ref="T4:T53" si="0">SUM(B4:S4)</f>
        <v>2095518.9066890809</v>
      </c>
    </row>
    <row r="5" spans="1:20" x14ac:dyDescent="0.2">
      <c r="A5" s="41" t="s">
        <v>110</v>
      </c>
      <c r="B5" s="41">
        <v>0</v>
      </c>
      <c r="C5" s="35">
        <f>+'Summary Prenatal to 2'!C5+'Summary 3-4+'!C5</f>
        <v>1700</v>
      </c>
      <c r="D5" s="35">
        <f>+'Summary Prenatal to 2'!D5+'Summary 3-4+'!D5</f>
        <v>14279.936174384949</v>
      </c>
      <c r="E5" s="35">
        <f>+'Summary Prenatal to 2'!E5+'Summary 3-4+'!E5</f>
        <v>182244.2142194552</v>
      </c>
      <c r="F5" s="35">
        <f>+'Summary Prenatal to 2'!F5+'Summary 3-4+'!F5</f>
        <v>12283.019455252917</v>
      </c>
      <c r="G5" s="35">
        <f>+'Summary Prenatal to 2'!G5+'Summary 3-4+'!G5</f>
        <v>30907.760517910683</v>
      </c>
      <c r="H5" s="35">
        <f>+'Summary Prenatal to 2'!H5+'Summary 3-4+'!H5</f>
        <v>4701.6051676376264</v>
      </c>
      <c r="I5" s="35">
        <f>+'Summary Prenatal to 2'!I5+'Summary 3-4+'!I5</f>
        <v>5086.6712197755205</v>
      </c>
      <c r="J5" s="35">
        <f>+'Summary Prenatal to 2'!J5+'Summary 3-4+'!J5</f>
        <v>11931.185373062533</v>
      </c>
      <c r="K5" s="35">
        <f>+'Summary Prenatal to 2'!K5+'Summary 3-4+'!K5</f>
        <v>30778.719791555315</v>
      </c>
      <c r="L5" s="35">
        <f>+'Summary Prenatal to 2'!L5+'Summary 3-4+'!L5</f>
        <v>17621.400000000001</v>
      </c>
      <c r="M5" s="35">
        <f>+'Summary Prenatal to 2'!M5+'Summary 3-4+'!M5</f>
        <v>317.49487439871723</v>
      </c>
      <c r="N5" s="35">
        <f>+'Summary Prenatal to 2'!N5+'Summary 3-4+'!N5</f>
        <v>13870.527605558524</v>
      </c>
      <c r="O5" s="35">
        <f>+'Summary Prenatal to 2'!O5+'Summary 3-4+'!O5</f>
        <v>10507.460068610893</v>
      </c>
      <c r="P5" s="35">
        <f>+'Summary Prenatal to 2'!P5+'Summary 3-4+'!P5</f>
        <v>27497.967042744654</v>
      </c>
      <c r="Q5" s="35">
        <f>+'Summary Prenatal to 2'!Q5+'Summary 3-4+'!Q5</f>
        <v>75434.910799334641</v>
      </c>
      <c r="R5" s="35">
        <f>+'Summary Prenatal to 2'!R5+'Summary 3-4+'!R5</f>
        <v>0</v>
      </c>
      <c r="S5" s="35">
        <f>+'Summary Prenatal to 2'!S5+'Summary 3-4+'!S5</f>
        <v>80755.02161616896</v>
      </c>
      <c r="T5" s="35">
        <f t="shared" si="0"/>
        <v>519917.89392585115</v>
      </c>
    </row>
    <row r="6" spans="1:20" x14ac:dyDescent="0.2">
      <c r="A6" s="41" t="s">
        <v>111</v>
      </c>
      <c r="B6" s="41">
        <v>0</v>
      </c>
      <c r="C6" s="35">
        <f>+'Summary Prenatal to 2'!C6+'Summary 3-4+'!C6</f>
        <v>9224</v>
      </c>
      <c r="D6" s="35">
        <f>+'Summary Prenatal to 2'!D6+'Summary 3-4+'!D6</f>
        <v>123335.21457886815</v>
      </c>
      <c r="E6" s="35">
        <f>+'Summary Prenatal to 2'!E6+'Summary 3-4+'!E6</f>
        <v>678898.27285490092</v>
      </c>
      <c r="F6" s="35">
        <f>+'Summary Prenatal to 2'!F6+'Summary 3-4+'!F6</f>
        <v>11553.542606743875</v>
      </c>
      <c r="G6" s="35">
        <f>+'Summary Prenatal to 2'!G6+'Summary 3-4+'!G6</f>
        <v>117225.05148393418</v>
      </c>
      <c r="H6" s="35">
        <f>+'Summary Prenatal to 2'!H6+'Summary 3-4+'!H6</f>
        <v>25236.304284741014</v>
      </c>
      <c r="I6" s="35">
        <f>+'Summary Prenatal to 2'!I6+'Summary 3-4+'!I6</f>
        <v>3963.5072586005008</v>
      </c>
      <c r="J6" s="35">
        <f>+'Summary Prenatal to 2'!J6+'Summary 3-4+'!J6</f>
        <v>78331.779027769851</v>
      </c>
      <c r="K6" s="35">
        <f>+'Summary Prenatal to 2'!K6+'Summary 3-4+'!K6</f>
        <v>47667.090867755702</v>
      </c>
      <c r="L6" s="35">
        <f>+'Summary Prenatal to 2'!L6+'Summary 3-4+'!L6</f>
        <v>116222.7</v>
      </c>
      <c r="M6" s="35">
        <f>+'Summary Prenatal to 2'!M6+'Summary 3-4+'!M6</f>
        <v>4847.245413763022</v>
      </c>
      <c r="N6" s="35">
        <f>+'Summary Prenatal to 2'!N6+'Summary 3-4+'!N6</f>
        <v>28861.447775116696</v>
      </c>
      <c r="O6" s="35">
        <f>+'Summary Prenatal to 2'!O6+'Summary 3-4+'!O6</f>
        <v>17040.384457952019</v>
      </c>
      <c r="P6" s="35">
        <f>+'Summary Prenatal to 2'!P6+'Summary 3-4+'!P6</f>
        <v>114136.63806531591</v>
      </c>
      <c r="Q6" s="35">
        <f>+'Summary Prenatal to 2'!Q6+'Summary 3-4+'!Q6</f>
        <v>519065.18586044095</v>
      </c>
      <c r="R6" s="35">
        <f>+'Summary Prenatal to 2'!R6+'Summary 3-4+'!R6</f>
        <v>0</v>
      </c>
      <c r="S6" s="35">
        <f>+'Summary Prenatal to 2'!S6+'Summary 3-4+'!S6</f>
        <v>879736.56073485455</v>
      </c>
      <c r="T6" s="35">
        <f t="shared" si="0"/>
        <v>2775344.9252707572</v>
      </c>
    </row>
    <row r="7" spans="1:20" x14ac:dyDescent="0.2">
      <c r="A7" s="41" t="s">
        <v>112</v>
      </c>
      <c r="B7" s="41">
        <v>0</v>
      </c>
      <c r="C7" s="35">
        <f>+'Summary Prenatal to 2'!C7+'Summary 3-4+'!C7</f>
        <v>111000</v>
      </c>
      <c r="D7" s="35">
        <f>+'Summary Prenatal to 2'!D7+'Summary 3-4+'!D7</f>
        <v>1004764.1513545393</v>
      </c>
      <c r="E7" s="35">
        <f>+'Summary Prenatal to 2'!E7+'Summary 3-4+'!E7</f>
        <v>436067.56732262275</v>
      </c>
      <c r="F7" s="35">
        <f>+'Summary Prenatal to 2'!F7+'Summary 3-4+'!F7</f>
        <v>44775.376846661355</v>
      </c>
      <c r="G7" s="35">
        <f>+'Summary Prenatal to 2'!G7+'Summary 3-4+'!G7</f>
        <v>4469.7005452202457</v>
      </c>
      <c r="H7" s="35">
        <f>+'Summary Prenatal to 2'!H7+'Summary 3-4+'!H7</f>
        <v>12227.115966495097</v>
      </c>
      <c r="I7" s="35">
        <f>+'Summary Prenatal to 2'!I7+'Summary 3-4+'!I7</f>
        <v>4168.182187595392</v>
      </c>
      <c r="J7" s="35">
        <f>+'Summary Prenatal to 2'!J7+'Summary 3-4+'!J7</f>
        <v>22870.479188646204</v>
      </c>
      <c r="K7" s="35">
        <f>+'Summary Prenatal to 2'!K7+'Summary 3-4+'!K7</f>
        <v>16828.984821650884</v>
      </c>
      <c r="L7" s="35">
        <f>+'Summary Prenatal to 2'!L7+'Summary 3-4+'!L7</f>
        <v>30499.56</v>
      </c>
      <c r="M7" s="35">
        <f>+'Summary Prenatal to 2'!M7+'Summary 3-4+'!M7</f>
        <v>2437.9848120965398</v>
      </c>
      <c r="N7" s="35">
        <f>+'Summary Prenatal to 2'!N7+'Summary 3-4+'!N7</f>
        <v>22883.882216573518</v>
      </c>
      <c r="O7" s="35">
        <f>+'Summary Prenatal to 2'!O7+'Summary 3-4+'!O7</f>
        <v>2356.6434840450506</v>
      </c>
      <c r="P7" s="35">
        <f>+'Summary Prenatal to 2'!P7+'Summary 3-4+'!P7</f>
        <v>74229.035749938674</v>
      </c>
      <c r="Q7" s="35">
        <f>+'Summary Prenatal to 2'!Q7+'Summary 3-4+'!Q7</f>
        <v>278785.24166404584</v>
      </c>
      <c r="R7" s="35">
        <f>+'Summary Prenatal to 2'!R7+'Summary 3-4+'!R7</f>
        <v>0</v>
      </c>
      <c r="S7" s="35">
        <f>+'Summary Prenatal to 2'!S7+'Summary 3-4+'!S7</f>
        <v>431372.92274097155</v>
      </c>
      <c r="T7" s="35">
        <f t="shared" si="0"/>
        <v>2499736.8289011023</v>
      </c>
    </row>
    <row r="8" spans="1:20" x14ac:dyDescent="0.2">
      <c r="A8" s="41" t="s">
        <v>113</v>
      </c>
      <c r="B8" s="41">
        <v>0</v>
      </c>
      <c r="C8" s="35">
        <f>+'Summary Prenatal to 2'!C8+'Summary 3-4+'!C8</f>
        <v>728223</v>
      </c>
      <c r="D8" s="35">
        <f>+'Summary Prenatal to 2'!D8+'Summary 3-4+'!D8</f>
        <v>971525.20912734361</v>
      </c>
      <c r="E8" s="35">
        <f>+'Summary Prenatal to 2'!E8+'Summary 3-4+'!E8</f>
        <v>4489508.0474678185</v>
      </c>
      <c r="F8" s="35">
        <f>+'Summary Prenatal to 2'!F8+'Summary 3-4+'!F8</f>
        <v>672664.29339310457</v>
      </c>
      <c r="G8" s="35">
        <f>+'Summary Prenatal to 2'!G8+'Summary 3-4+'!G8</f>
        <v>615497.28092838812</v>
      </c>
      <c r="H8" s="35">
        <f>+'Summary Prenatal to 2'!H8+'Summary 3-4+'!H8</f>
        <v>158704.7237270331</v>
      </c>
      <c r="I8" s="35">
        <f>+'Summary Prenatal to 2'!I8+'Summary 3-4+'!I8</f>
        <v>496591.16289847076</v>
      </c>
      <c r="J8" s="35">
        <f>+'Summary Prenatal to 2'!J8+'Summary 3-4+'!J8</f>
        <v>526196.96682044887</v>
      </c>
      <c r="K8" s="35">
        <f>+'Summary Prenatal to 2'!K8+'Summary 3-4+'!K8</f>
        <v>494183.20402763184</v>
      </c>
      <c r="L8" s="35">
        <f>+'Summary Prenatal to 2'!L8+'Summary 3-4+'!L8</f>
        <v>623994.51</v>
      </c>
      <c r="M8" s="35">
        <f>+'Summary Prenatal to 2'!M8+'Summary 3-4+'!M8</f>
        <v>19105.285286561499</v>
      </c>
      <c r="N8" s="35">
        <f>+'Summary Prenatal to 2'!N8+'Summary 3-4+'!N8</f>
        <v>429522.34158162272</v>
      </c>
      <c r="O8" s="35">
        <f>+'Summary Prenatal to 2'!O8+'Summary 3-4+'!O8</f>
        <v>189673.09714951215</v>
      </c>
      <c r="P8" s="35">
        <f>+'Summary Prenatal to 2'!P8+'Summary 3-4+'!P8</f>
        <v>2070551.4485517675</v>
      </c>
      <c r="Q8" s="35">
        <f>+'Summary Prenatal to 2'!Q8+'Summary 3-4+'!Q8</f>
        <v>3018700.7138303393</v>
      </c>
      <c r="R8" s="35">
        <f>+'Summary Prenatal to 2'!R8+'Summary 3-4+'!R8</f>
        <v>0</v>
      </c>
      <c r="S8" s="35">
        <f>+'Summary Prenatal to 2'!S8+'Summary 3-4+'!S8</f>
        <v>4570710.6302532265</v>
      </c>
      <c r="T8" s="35">
        <f t="shared" si="0"/>
        <v>20075351.915043268</v>
      </c>
    </row>
    <row r="9" spans="1:20" x14ac:dyDescent="0.2">
      <c r="A9" s="41" t="s">
        <v>115</v>
      </c>
      <c r="B9" s="41">
        <v>0</v>
      </c>
      <c r="C9" s="35">
        <f>+'Summary Prenatal to 2'!C9+'Summary 3-4+'!C9</f>
        <v>37255</v>
      </c>
      <c r="D9" s="35">
        <f>+'Summary Prenatal to 2'!D9+'Summary 3-4+'!D9</f>
        <v>122833.06009872249</v>
      </c>
      <c r="E9" s="35">
        <f>+'Summary Prenatal to 2'!E9+'Summary 3-4+'!E9</f>
        <v>470427.97370487114</v>
      </c>
      <c r="F9" s="35">
        <f>+'Summary Prenatal to 2'!F9+'Summary 3-4+'!F9</f>
        <v>69944.775639594591</v>
      </c>
      <c r="G9" s="35">
        <f>+'Summary Prenatal to 2'!G9+'Summary 3-4+'!G9</f>
        <v>39183.238538264253</v>
      </c>
      <c r="H9" s="35">
        <f>+'Summary Prenatal to 2'!H9+'Summary 3-4+'!H9</f>
        <v>14280.690001198678</v>
      </c>
      <c r="I9" s="35">
        <f>+'Summary Prenatal to 2'!I9+'Summary 3-4+'!I9</f>
        <v>3766.4258582231978</v>
      </c>
      <c r="J9" s="35">
        <f>+'Summary Prenatal to 2'!J9+'Summary 3-4+'!J9</f>
        <v>24253.830284901713</v>
      </c>
      <c r="K9" s="35">
        <f>+'Summary Prenatal to 2'!K9+'Summary 3-4+'!K9</f>
        <v>74544.377365477791</v>
      </c>
      <c r="L9" s="35">
        <f>+'Summary Prenatal to 2'!L9+'Summary 3-4+'!L9</f>
        <v>58342.9</v>
      </c>
      <c r="M9" s="35">
        <f>+'Summary Prenatal to 2'!M9+'Summary 3-4+'!M9</f>
        <v>1889.955284740912</v>
      </c>
      <c r="N9" s="35">
        <f>+'Summary Prenatal to 2'!N9+'Summary 3-4+'!N9</f>
        <v>35889.686255337605</v>
      </c>
      <c r="O9" s="35">
        <f>+'Summary Prenatal to 2'!O9+'Summary 3-4+'!O9</f>
        <v>5292.0494860000008</v>
      </c>
      <c r="P9" s="35">
        <f>+'Summary Prenatal to 2'!P9+'Summary 3-4+'!P9</f>
        <v>111871.12504181784</v>
      </c>
      <c r="Q9" s="35">
        <f>+'Summary Prenatal to 2'!Q9+'Summary 3-4+'!Q9</f>
        <v>282332.94264718163</v>
      </c>
      <c r="R9" s="35">
        <f>+'Summary Prenatal to 2'!R9+'Summary 3-4+'!R9</f>
        <v>0</v>
      </c>
      <c r="S9" s="35">
        <f>+'Summary Prenatal to 2'!S9+'Summary 3-4+'!S9</f>
        <v>550979.78371819144</v>
      </c>
      <c r="T9" s="35">
        <f t="shared" si="0"/>
        <v>1903087.8139245231</v>
      </c>
    </row>
    <row r="10" spans="1:20" x14ac:dyDescent="0.2">
      <c r="A10" s="41" t="s">
        <v>114</v>
      </c>
      <c r="B10" s="41">
        <v>0</v>
      </c>
      <c r="C10" s="35">
        <f>+'Summary Prenatal to 2'!C10+'Summary 3-4+'!C10</f>
        <v>75432</v>
      </c>
      <c r="D10" s="35">
        <f>+'Summary Prenatal to 2'!D10+'Summary 3-4+'!D10</f>
        <v>62463.976079904256</v>
      </c>
      <c r="E10" s="35">
        <f>+'Summary Prenatal to 2'!E10+'Summary 3-4+'!E10</f>
        <v>455953.91189812589</v>
      </c>
      <c r="F10" s="35">
        <f>+'Summary Prenatal to 2'!F10+'Summary 3-4+'!F10</f>
        <v>8725.5285920230654</v>
      </c>
      <c r="G10" s="35">
        <f>+'Summary Prenatal to 2'!G10+'Summary 3-4+'!G10</f>
        <v>0</v>
      </c>
      <c r="H10" s="35">
        <f>+'Summary Prenatal to 2'!H10+'Summary 3-4+'!H10</f>
        <v>9632.3354244856728</v>
      </c>
      <c r="I10" s="35">
        <f>+'Summary Prenatal to 2'!I10+'Summary 3-4+'!I10</f>
        <v>2828.264584907467</v>
      </c>
      <c r="J10" s="35">
        <f>+'Summary Prenatal to 2'!J10+'Summary 3-4+'!J10</f>
        <v>35229.198552201604</v>
      </c>
      <c r="K10" s="35">
        <f>+'Summary Prenatal to 2'!K10+'Summary 3-4+'!K10</f>
        <v>82158.792799014074</v>
      </c>
      <c r="L10" s="35">
        <f>+'Summary Prenatal to 2'!L10+'Summary 3-4+'!L10</f>
        <v>69652.450000000012</v>
      </c>
      <c r="M10" s="35">
        <f>+'Summary Prenatal to 2'!M10+'Summary 3-4+'!M10</f>
        <v>1085.5862783161408</v>
      </c>
      <c r="N10" s="35">
        <f>+'Summary Prenatal to 2'!N10+'Summary 3-4+'!N10</f>
        <v>28700.82380367913</v>
      </c>
      <c r="O10" s="35">
        <f>+'Summary Prenatal to 2'!O10+'Summary 3-4+'!O10</f>
        <v>13048.110894122272</v>
      </c>
      <c r="P10" s="35">
        <f>+'Summary Prenatal to 2'!P10+'Summary 3-4+'!P10</f>
        <v>189316.34853384312</v>
      </c>
      <c r="Q10" s="35">
        <f>+'Summary Prenatal to 2'!Q10+'Summary 3-4+'!Q10</f>
        <v>243602.08970870124</v>
      </c>
      <c r="R10" s="35">
        <f>+'Summary Prenatal to 2'!R10+'Summary 3-4+'!R10</f>
        <v>0</v>
      </c>
      <c r="S10" s="35">
        <f>+'Summary Prenatal to 2'!S10+'Summary 3-4+'!S10</f>
        <v>318882.97485266416</v>
      </c>
      <c r="T10" s="35">
        <f t="shared" si="0"/>
        <v>1596712.3920019879</v>
      </c>
    </row>
    <row r="11" spans="1:20" x14ac:dyDescent="0.2">
      <c r="A11" s="41" t="s">
        <v>42</v>
      </c>
      <c r="B11" s="41">
        <v>0</v>
      </c>
      <c r="C11" s="35">
        <f>+'Summary Prenatal to 2'!C11+'Summary 3-4+'!C11</f>
        <v>5728</v>
      </c>
      <c r="D11" s="35">
        <f>+'Summary Prenatal to 2'!D11+'Summary 3-4+'!D11</f>
        <v>55228.870999999999</v>
      </c>
      <c r="E11" s="35">
        <f>+'Summary Prenatal to 2'!E11+'Summary 3-4+'!E11</f>
        <v>135870.13538408602</v>
      </c>
      <c r="F11" s="35">
        <f>+'Summary Prenatal to 2'!F11+'Summary 3-4+'!F11</f>
        <v>8636.0946236559139</v>
      </c>
      <c r="G11" s="35">
        <f>+'Summary Prenatal to 2'!G11+'Summary 3-4+'!G11</f>
        <v>0</v>
      </c>
      <c r="H11" s="35">
        <f>+'Summary Prenatal to 2'!H11+'Summary 3-4+'!H11</f>
        <v>3297.328011772739</v>
      </c>
      <c r="I11" s="35">
        <f>+'Summary Prenatal to 2'!I11+'Summary 3-4+'!I11</f>
        <v>4125.4532730943674</v>
      </c>
      <c r="J11" s="35">
        <f>+'Summary Prenatal to 2'!J11+'Summary 3-4+'!J11</f>
        <v>2101.6473521092416</v>
      </c>
      <c r="K11" s="35">
        <f>+'Summary Prenatal to 2'!K11+'Summary 3-4+'!K11</f>
        <v>13238.533460131675</v>
      </c>
      <c r="L11" s="35">
        <f>+'Summary Prenatal to 2'!L11+'Summary 3-4+'!L11</f>
        <v>14987.26</v>
      </c>
      <c r="M11" s="35">
        <f>+'Summary Prenatal to 2'!M11+'Summary 3-4+'!M11</f>
        <v>509.3142060473055</v>
      </c>
      <c r="N11" s="35">
        <f>+'Summary Prenatal to 2'!N11+'Summary 3-4+'!N11</f>
        <v>21697.811972689589</v>
      </c>
      <c r="O11" s="35">
        <f>+'Summary Prenatal to 2'!O11+'Summary 3-4+'!O11</f>
        <v>1830.9685476451614</v>
      </c>
      <c r="P11" s="35">
        <f>+'Summary Prenatal to 2'!P11+'Summary 3-4+'!P11</f>
        <v>34925.204710370599</v>
      </c>
      <c r="Q11" s="35">
        <f>+'Summary Prenatal to 2'!Q11+'Summary 3-4+'!Q11</f>
        <v>74739.101553099579</v>
      </c>
      <c r="R11" s="35">
        <f>+'Summary Prenatal to 2'!R11+'Summary 3-4+'!R11</f>
        <v>0</v>
      </c>
      <c r="S11" s="35">
        <f>+'Summary Prenatal to 2'!S11+'Summary 3-4+'!S11</f>
        <v>113445.20313632395</v>
      </c>
      <c r="T11" s="35">
        <f t="shared" si="0"/>
        <v>490360.92723102623</v>
      </c>
    </row>
    <row r="12" spans="1:20" x14ac:dyDescent="0.2">
      <c r="A12" s="41" t="s">
        <v>116</v>
      </c>
      <c r="B12" s="41">
        <v>0</v>
      </c>
      <c r="C12" s="35">
        <f>+'Summary Prenatal to 2'!C12+'Summary 3-4+'!C12</f>
        <v>399464</v>
      </c>
      <c r="D12" s="35">
        <f>+'Summary Prenatal to 2'!D12+'Summary 3-4+'!D12</f>
        <v>336706.95493686927</v>
      </c>
      <c r="E12" s="35">
        <f>+'Summary Prenatal to 2'!E12+'Summary 3-4+'!E12</f>
        <v>1536587.7225792815</v>
      </c>
      <c r="F12" s="35">
        <f>+'Summary Prenatal to 2'!F12+'Summary 3-4+'!F12</f>
        <v>180940.80666629362</v>
      </c>
      <c r="G12" s="35">
        <f>+'Summary Prenatal to 2'!G12+'Summary 3-4+'!G12</f>
        <v>24396.971813046381</v>
      </c>
      <c r="H12" s="35">
        <f>+'Summary Prenatal to 2'!H12+'Summary 3-4+'!H12</f>
        <v>58892.411209122096</v>
      </c>
      <c r="I12" s="35">
        <f>+'Summary Prenatal to 2'!I12+'Summary 3-4+'!I12</f>
        <v>82493.734863000936</v>
      </c>
      <c r="J12" s="35">
        <f>+'Summary Prenatal to 2'!J12+'Summary 3-4+'!J12</f>
        <v>86029.946155183789</v>
      </c>
      <c r="K12" s="35">
        <f>+'Summary Prenatal to 2'!K12+'Summary 3-4+'!K12</f>
        <v>135746.00558378804</v>
      </c>
      <c r="L12" s="35">
        <f>+'Summary Prenatal to 2'!L12+'Summary 3-4+'!L12</f>
        <v>283805.55000000005</v>
      </c>
      <c r="M12" s="35">
        <f>+'Summary Prenatal to 2'!M12+'Summary 3-4+'!M12</f>
        <v>9944.1480061743896</v>
      </c>
      <c r="N12" s="35">
        <f>+'Summary Prenatal to 2'!N12+'Summary 3-4+'!N12</f>
        <v>122672.88701605005</v>
      </c>
      <c r="O12" s="35">
        <f>+'Summary Prenatal to 2'!O12+'Summary 3-4+'!O12</f>
        <v>54770.077175141647</v>
      </c>
      <c r="P12" s="35">
        <f>+'Summary Prenatal to 2'!P12+'Summary 3-4+'!P12</f>
        <v>269310.0086841202</v>
      </c>
      <c r="Q12" s="35">
        <f>+'Summary Prenatal to 2'!Q12+'Summary 3-4+'!Q12</f>
        <v>1633395.9809118481</v>
      </c>
      <c r="R12" s="35">
        <f>+'Summary Prenatal to 2'!R12+'Summary 3-4+'!R12</f>
        <v>0</v>
      </c>
      <c r="S12" s="35">
        <f>+'Summary Prenatal to 2'!S12+'Summary 3-4+'!S12</f>
        <v>2720056.8847495373</v>
      </c>
      <c r="T12" s="35">
        <f t="shared" si="0"/>
        <v>7935214.0903494582</v>
      </c>
    </row>
    <row r="13" spans="1:20" x14ac:dyDescent="0.2">
      <c r="A13" s="41" t="s">
        <v>117</v>
      </c>
      <c r="B13" s="41">
        <v>0</v>
      </c>
      <c r="C13" s="35">
        <f>+'Summary Prenatal to 2'!C13+'Summary 3-4+'!C13</f>
        <v>289223</v>
      </c>
      <c r="D13" s="35">
        <f>+'Summary Prenatal to 2'!D13+'Summary 3-4+'!D13</f>
        <v>215500.62460251688</v>
      </c>
      <c r="E13" s="35">
        <f>+'Summary Prenatal to 2'!E13+'Summary 3-4+'!E13</f>
        <v>1114754.5409582234</v>
      </c>
      <c r="F13" s="35">
        <f>+'Summary Prenatal to 2'!F13+'Summary 3-4+'!F13</f>
        <v>136558.79455248144</v>
      </c>
      <c r="G13" s="35">
        <f>+'Summary Prenatal to 2'!G13+'Summary 3-4+'!G13</f>
        <v>28536.968481501932</v>
      </c>
      <c r="H13" s="35">
        <f>+'Summary Prenatal to 2'!H13+'Summary 3-4+'!H13</f>
        <v>40908.534255785547</v>
      </c>
      <c r="I13" s="35">
        <f>+'Summary Prenatal to 2'!I13+'Summary 3-4+'!I13</f>
        <v>60233.353520856981</v>
      </c>
      <c r="J13" s="35">
        <f>+'Summary Prenatal to 2'!J13+'Summary 3-4+'!J13</f>
        <v>44502.202494955076</v>
      </c>
      <c r="K13" s="35">
        <f>+'Summary Prenatal to 2'!K13+'Summary 3-4+'!K13</f>
        <v>54879.2442981778</v>
      </c>
      <c r="L13" s="35">
        <f>+'Summary Prenatal to 2'!L13+'Summary 3-4+'!L13</f>
        <v>98170.05</v>
      </c>
      <c r="M13" s="35">
        <f>+'Summary Prenatal to 2'!M13+'Summary 3-4+'!M13</f>
        <v>7151.2073173416147</v>
      </c>
      <c r="N13" s="35">
        <f>+'Summary Prenatal to 2'!N13+'Summary 3-4+'!N13</f>
        <v>47427.969930826759</v>
      </c>
      <c r="O13" s="35">
        <f>+'Summary Prenatal to 2'!O13+'Summary 3-4+'!O13</f>
        <v>4163.1865905532441</v>
      </c>
      <c r="P13" s="35">
        <f>+'Summary Prenatal to 2'!P13+'Summary 3-4+'!P13</f>
        <v>155164.13991521773</v>
      </c>
      <c r="Q13" s="35">
        <f>+'Summary Prenatal to 2'!Q13+'Summary 3-4+'!Q13</f>
        <v>1136938.8524693893</v>
      </c>
      <c r="R13" s="35">
        <f>+'Summary Prenatal to 2'!R13+'Summary 3-4+'!R13</f>
        <v>0</v>
      </c>
      <c r="S13" s="35">
        <f>+'Summary Prenatal to 2'!S13+'Summary 3-4+'!S13</f>
        <v>1697087.8806816232</v>
      </c>
      <c r="T13" s="35">
        <f t="shared" si="0"/>
        <v>5131200.5500694513</v>
      </c>
    </row>
    <row r="14" spans="1:20" x14ac:dyDescent="0.2">
      <c r="A14" s="41" t="s">
        <v>118</v>
      </c>
      <c r="B14" s="41">
        <v>0</v>
      </c>
      <c r="C14" s="35">
        <f>+'Summary Prenatal to 2'!C14+'Summary 3-4+'!C14</f>
        <v>0</v>
      </c>
      <c r="D14" s="35">
        <f>+'Summary Prenatal to 2'!D14+'Summary 3-4+'!D14</f>
        <v>27962.46966369827</v>
      </c>
      <c r="E14" s="35">
        <f>+'Summary Prenatal to 2'!E14+'Summary 3-4+'!E14</f>
        <v>120826.47465272102</v>
      </c>
      <c r="F14" s="35">
        <f>+'Summary Prenatal to 2'!F14+'Summary 3-4+'!F14</f>
        <v>17313.449910116033</v>
      </c>
      <c r="G14" s="35">
        <f>+'Summary Prenatal to 2'!G14+'Summary 3-4+'!G14</f>
        <v>9706.5237140597346</v>
      </c>
      <c r="H14" s="35">
        <f>+'Summary Prenatal to 2'!H14+'Summary 3-4+'!H14</f>
        <v>5190.8242478457878</v>
      </c>
      <c r="I14" s="35">
        <f>+'Summary Prenatal to 2'!I14+'Summary 3-4+'!I14</f>
        <v>9274.1869576220015</v>
      </c>
      <c r="J14" s="35">
        <f>+'Summary Prenatal to 2'!J14+'Summary 3-4+'!J14</f>
        <v>0</v>
      </c>
      <c r="K14" s="35">
        <f>+'Summary Prenatal to 2'!K14+'Summary 3-4+'!K14</f>
        <v>0</v>
      </c>
      <c r="L14" s="35">
        <f>+'Summary Prenatal to 2'!L14+'Summary 3-4+'!L14</f>
        <v>29341.620000000003</v>
      </c>
      <c r="M14" s="35">
        <f>+'Summary Prenatal to 2'!M14+'Summary 3-4+'!M14</f>
        <v>658.16534655948226</v>
      </c>
      <c r="N14" s="35">
        <f>+'Summary Prenatal to 2'!N14+'Summary 3-4+'!N14</f>
        <v>9619.5045856421057</v>
      </c>
      <c r="O14" s="35">
        <f>+'Summary Prenatal to 2'!O14+'Summary 3-4+'!O14</f>
        <v>5792.3818733832795</v>
      </c>
      <c r="P14" s="35">
        <f>+'Summary Prenatal to 2'!P14+'Summary 3-4+'!P14</f>
        <v>99979.293656483525</v>
      </c>
      <c r="Q14" s="35">
        <f>+'Summary Prenatal to 2'!Q14+'Summary 3-4+'!Q14</f>
        <v>147544.28356547386</v>
      </c>
      <c r="R14" s="35">
        <f>+'Summary Prenatal to 2'!R14+'Summary 3-4+'!R14</f>
        <v>0</v>
      </c>
      <c r="S14" s="35">
        <f>+'Summary Prenatal to 2'!S14+'Summary 3-4+'!S14</f>
        <v>183091.78391026269</v>
      </c>
      <c r="T14" s="35">
        <f t="shared" si="0"/>
        <v>666300.96208386775</v>
      </c>
    </row>
    <row r="15" spans="1:20" x14ac:dyDescent="0.2">
      <c r="A15" s="41" t="s">
        <v>119</v>
      </c>
      <c r="B15" s="41">
        <v>0</v>
      </c>
      <c r="C15" s="35">
        <f>+'Summary Prenatal to 2'!C15+'Summary 3-4+'!C15</f>
        <v>0</v>
      </c>
      <c r="D15" s="35">
        <f>+'Summary Prenatal to 2'!D15+'Summary 3-4+'!D15</f>
        <v>119057.18353564937</v>
      </c>
      <c r="E15" s="35">
        <f>+'Summary Prenatal to 2'!E15+'Summary 3-4+'!E15</f>
        <v>160322.06034114549</v>
      </c>
      <c r="F15" s="35">
        <f>+'Summary Prenatal to 2'!F15+'Summary 3-4+'!F15</f>
        <v>17023.061988628484</v>
      </c>
      <c r="G15" s="35">
        <f>+'Summary Prenatal to 2'!G15+'Summary 3-4+'!G15</f>
        <v>3053.6521942775676</v>
      </c>
      <c r="H15" s="35">
        <f>+'Summary Prenatal to 2'!H15+'Summary 3-4+'!H15</f>
        <v>6477.5660121767778</v>
      </c>
      <c r="I15" s="35">
        <f>+'Summary Prenatal to 2'!I15+'Summary 3-4+'!I15</f>
        <v>1374.7383251822475</v>
      </c>
      <c r="J15" s="35">
        <f>+'Summary Prenatal to 2'!J15+'Summary 3-4+'!J15</f>
        <v>6369.4768980124481</v>
      </c>
      <c r="K15" s="35">
        <f>+'Summary Prenatal to 2'!K15+'Summary 3-4+'!K15</f>
        <v>4930.6461299107295</v>
      </c>
      <c r="L15" s="35">
        <f>+'Summary Prenatal to 2'!L15+'Summary 3-4+'!L15</f>
        <v>12731.52</v>
      </c>
      <c r="M15" s="35">
        <f>+'Summary Prenatal to 2'!M15+'Summary 3-4+'!M15</f>
        <v>891.3459449489485</v>
      </c>
      <c r="N15" s="35">
        <f>+'Summary Prenatal to 2'!N15+'Summary 3-4+'!N15</f>
        <v>10556.570287486165</v>
      </c>
      <c r="O15" s="35">
        <f>+'Summary Prenatal to 2'!O15+'Summary 3-4+'!O15</f>
        <v>3785.5471539926275</v>
      </c>
      <c r="P15" s="35">
        <f>+'Summary Prenatal to 2'!P15+'Summary 3-4+'!P15</f>
        <v>7935.5739438665642</v>
      </c>
      <c r="Q15" s="35">
        <f>+'Summary Prenatal to 2'!Q15+'Summary 3-4+'!Q15</f>
        <v>120882.84275172374</v>
      </c>
      <c r="R15" s="35">
        <f>+'Summary Prenatal to 2'!R15+'Summary 3-4+'!R15</f>
        <v>0</v>
      </c>
      <c r="S15" s="35">
        <f>+'Summary Prenatal to 2'!S15+'Summary 3-4+'!S15</f>
        <v>213826.1679216394</v>
      </c>
      <c r="T15" s="35">
        <f t="shared" si="0"/>
        <v>689217.95342864061</v>
      </c>
    </row>
    <row r="16" spans="1:20" x14ac:dyDescent="0.2">
      <c r="A16" s="41" t="s">
        <v>120</v>
      </c>
      <c r="B16" s="41">
        <v>0</v>
      </c>
      <c r="C16" s="35">
        <f>+'Summary Prenatal to 2'!C16+'Summary 3-4+'!C16</f>
        <v>259771</v>
      </c>
      <c r="D16" s="35">
        <f>+'Summary Prenatal to 2'!D16+'Summary 3-4+'!D16</f>
        <v>326993.76245300297</v>
      </c>
      <c r="E16" s="35">
        <f>+'Summary Prenatal to 2'!E16+'Summary 3-4+'!E16</f>
        <v>1422028.4814696158</v>
      </c>
      <c r="F16" s="35">
        <f>+'Summary Prenatal to 2'!F16+'Summary 3-4+'!F16</f>
        <v>146657.7017710229</v>
      </c>
      <c r="G16" s="35">
        <f>+'Summary Prenatal to 2'!G16+'Summary 3-4+'!G16</f>
        <v>63763.410958790555</v>
      </c>
      <c r="H16" s="35">
        <f>+'Summary Prenatal to 2'!H16+'Summary 3-4+'!H16</f>
        <v>42357.803003406916</v>
      </c>
      <c r="I16" s="35">
        <f>+'Summary Prenatal to 2'!I16+'Summary 3-4+'!I16</f>
        <v>14947.326258412275</v>
      </c>
      <c r="J16" s="35">
        <f>+'Summary Prenatal to 2'!J16+'Summary 3-4+'!J16</f>
        <v>101036.76141269848</v>
      </c>
      <c r="K16" s="35">
        <f>+'Summary Prenatal to 2'!K16+'Summary 3-4+'!K16</f>
        <v>139466.82257915547</v>
      </c>
      <c r="L16" s="35">
        <f>+'Summary Prenatal to 2'!L16+'Summary 3-4+'!L16</f>
        <v>164807.58000000002</v>
      </c>
      <c r="M16" s="35">
        <f>+'Summary Prenatal to 2'!M16+'Summary 3-4+'!M16</f>
        <v>8170.8249137021776</v>
      </c>
      <c r="N16" s="35">
        <f>+'Summary Prenatal to 2'!N16+'Summary 3-4+'!N16</f>
        <v>89581.413199785253</v>
      </c>
      <c r="O16" s="35">
        <f>+'Summary Prenatal to 2'!O16+'Summary 3-4+'!O16</f>
        <v>5170.3756200119351</v>
      </c>
      <c r="P16" s="35">
        <f>+'Summary Prenatal to 2'!P16+'Summary 3-4+'!P16</f>
        <v>403121.72396119463</v>
      </c>
      <c r="Q16" s="35">
        <f>+'Summary Prenatal to 2'!Q16+'Summary 3-4+'!Q16</f>
        <v>988345.62560088618</v>
      </c>
      <c r="R16" s="35">
        <f>+'Summary Prenatal to 2'!R16+'Summary 3-4+'!R16</f>
        <v>0</v>
      </c>
      <c r="S16" s="35">
        <f>+'Summary Prenatal to 2'!S16+'Summary 3-4+'!S16</f>
        <v>1566629.4685284426</v>
      </c>
      <c r="T16" s="35">
        <f t="shared" si="0"/>
        <v>5742850.0817301273</v>
      </c>
    </row>
    <row r="17" spans="1:20" x14ac:dyDescent="0.2">
      <c r="A17" s="41" t="s">
        <v>121</v>
      </c>
      <c r="B17" s="41">
        <v>0</v>
      </c>
      <c r="C17" s="35">
        <f>+'Summary Prenatal to 2'!C17+'Summary 3-4+'!C17</f>
        <v>0</v>
      </c>
      <c r="D17" s="35">
        <f>+'Summary Prenatal to 2'!D17+'Summary 3-4+'!D17</f>
        <v>111830.58000522631</v>
      </c>
      <c r="E17" s="35">
        <f>+'Summary Prenatal to 2'!E17+'Summary 3-4+'!E17</f>
        <v>744209.87361005263</v>
      </c>
      <c r="F17" s="35">
        <f>+'Summary Prenatal to 2'!F17+'Summary 3-4+'!F17</f>
        <v>71102.066810862772</v>
      </c>
      <c r="G17" s="35">
        <f>+'Summary Prenatal to 2'!G17+'Summary 3-4+'!G17</f>
        <v>28964.568441454903</v>
      </c>
      <c r="H17" s="35">
        <f>+'Summary Prenatal to 2'!H17+'Summary 3-4+'!H17</f>
        <v>20114.266661192712</v>
      </c>
      <c r="I17" s="35">
        <f>+'Summary Prenatal to 2'!I17+'Summary 3-4+'!I17</f>
        <v>7641.6086853708848</v>
      </c>
      <c r="J17" s="35">
        <f>+'Summary Prenatal to 2'!J17+'Summary 3-4+'!J17</f>
        <v>55713.600599812635</v>
      </c>
      <c r="K17" s="35">
        <f>+'Summary Prenatal to 2'!K17+'Summary 3-4+'!K17</f>
        <v>110762.85226490864</v>
      </c>
      <c r="L17" s="35">
        <f>+'Summary Prenatal to 2'!L17+'Summary 3-4+'!L17</f>
        <v>91733.46</v>
      </c>
      <c r="M17" s="35">
        <f>+'Summary Prenatal to 2'!M17+'Summary 3-4+'!M17</f>
        <v>3782.8903051415514</v>
      </c>
      <c r="N17" s="35">
        <f>+'Summary Prenatal to 2'!N17+'Summary 3-4+'!N17</f>
        <v>45623.189919175711</v>
      </c>
      <c r="O17" s="35">
        <f>+'Summary Prenatal to 2'!O17+'Summary 3-4+'!O17</f>
        <v>5382.3156703461245</v>
      </c>
      <c r="P17" s="35">
        <f>+'Summary Prenatal to 2'!P17+'Summary 3-4+'!P17</f>
        <v>83887.134608931519</v>
      </c>
      <c r="Q17" s="35">
        <f>+'Summary Prenatal to 2'!Q17+'Summary 3-4+'!Q17</f>
        <v>502756.73744463862</v>
      </c>
      <c r="R17" s="35">
        <f>+'Summary Prenatal to 2'!R17+'Summary 3-4+'!R17</f>
        <v>0</v>
      </c>
      <c r="S17" s="35">
        <f>+'Summary Prenatal to 2'!S17+'Summary 3-4+'!S17</f>
        <v>886272.70661138324</v>
      </c>
      <c r="T17" s="35">
        <f t="shared" si="0"/>
        <v>2769777.8516384983</v>
      </c>
    </row>
    <row r="18" spans="1:20" x14ac:dyDescent="0.2">
      <c r="A18" s="41" t="s">
        <v>122</v>
      </c>
      <c r="B18" s="41">
        <v>0</v>
      </c>
      <c r="C18" s="35">
        <f>+'Summary Prenatal to 2'!C18+'Summary 3-4+'!C18</f>
        <v>78490</v>
      </c>
      <c r="D18" s="35">
        <f>+'Summary Prenatal to 2'!D18+'Summary 3-4+'!D18</f>
        <v>80188.650464049599</v>
      </c>
      <c r="E18" s="35">
        <f>+'Summary Prenatal to 2'!E18+'Summary 3-4+'!E18</f>
        <v>318088.63542536844</v>
      </c>
      <c r="F18" s="35">
        <f>+'Summary Prenatal to 2'!F18+'Summary 3-4+'!F18</f>
        <v>49487.42682526006</v>
      </c>
      <c r="G18" s="35">
        <f>+'Summary Prenatal to 2'!G18+'Summary 3-4+'!G18</f>
        <v>42655.029796636169</v>
      </c>
      <c r="H18" s="35">
        <f>+'Summary Prenatal to 2'!H18+'Summary 3-4+'!H18</f>
        <v>8306.1816006545378</v>
      </c>
      <c r="I18" s="35">
        <f>+'Summary Prenatal to 2'!I18+'Summary 3-4+'!I18</f>
        <v>3184.4172642135791</v>
      </c>
      <c r="J18" s="35">
        <f>+'Summary Prenatal to 2'!J18+'Summary 3-4+'!J18</f>
        <v>25209.278193052662</v>
      </c>
      <c r="K18" s="35">
        <f>+'Summary Prenatal to 2'!K18+'Summary 3-4+'!K18</f>
        <v>37749.539798576116</v>
      </c>
      <c r="L18" s="35">
        <f>+'Summary Prenatal to 2'!L18+'Summary 3-4+'!L18</f>
        <v>45142.380000000005</v>
      </c>
      <c r="M18" s="35">
        <f>+'Summary Prenatal to 2'!M18+'Summary 3-4+'!M18</f>
        <v>1686.5424837637236</v>
      </c>
      <c r="N18" s="35">
        <f>+'Summary Prenatal to 2'!N18+'Summary 3-4+'!N18</f>
        <v>25571.340142443561</v>
      </c>
      <c r="O18" s="35">
        <f>+'Summary Prenatal to 2'!O18+'Summary 3-4+'!O18</f>
        <v>11144.037243571154</v>
      </c>
      <c r="P18" s="35">
        <f>+'Summary Prenatal to 2'!P18+'Summary 3-4+'!P18</f>
        <v>82886.71356309198</v>
      </c>
      <c r="Q18" s="35">
        <f>+'Summary Prenatal to 2'!Q18+'Summary 3-4+'!Q18</f>
        <v>209991.09540109336</v>
      </c>
      <c r="R18" s="35">
        <f>+'Summary Prenatal to 2'!R18+'Summary 3-4+'!R18</f>
        <v>0</v>
      </c>
      <c r="S18" s="35">
        <f>+'Summary Prenatal to 2'!S18+'Summary 3-4+'!S18</f>
        <v>353801.31598778022</v>
      </c>
      <c r="T18" s="35">
        <f t="shared" si="0"/>
        <v>1373582.5841895551</v>
      </c>
    </row>
    <row r="19" spans="1:20" x14ac:dyDescent="0.2">
      <c r="A19" s="41" t="s">
        <v>123</v>
      </c>
      <c r="B19" s="41">
        <v>0</v>
      </c>
      <c r="C19" s="35">
        <f>+'Summary Prenatal to 2'!C19+'Summary 3-4+'!C19</f>
        <v>18243</v>
      </c>
      <c r="D19" s="35">
        <f>+'Summary Prenatal to 2'!D19+'Summary 3-4+'!D19</f>
        <v>79269.999950806465</v>
      </c>
      <c r="E19" s="35">
        <f>+'Summary Prenatal to 2'!E19+'Summary 3-4+'!E19</f>
        <v>274190.64488511626</v>
      </c>
      <c r="F19" s="35">
        <f>+'Summary Prenatal to 2'!F19+'Summary 3-4+'!F19</f>
        <v>29547.133460735076</v>
      </c>
      <c r="G19" s="35">
        <f>+'Summary Prenatal to 2'!G19+'Summary 3-4+'!G19</f>
        <v>43383.298965191716</v>
      </c>
      <c r="H19" s="35">
        <f>+'Summary Prenatal to 2'!H19+'Summary 3-4+'!H19</f>
        <v>8297.0223768334836</v>
      </c>
      <c r="I19" s="35">
        <f>+'Summary Prenatal to 2'!I19+'Summary 3-4+'!I19</f>
        <v>2728.5078105187881</v>
      </c>
      <c r="J19" s="35">
        <f>+'Summary Prenatal to 2'!J19+'Summary 3-4+'!J19</f>
        <v>13960.601101658973</v>
      </c>
      <c r="K19" s="35">
        <f>+'Summary Prenatal to 2'!K19+'Summary 3-4+'!K19</f>
        <v>42437.469910424355</v>
      </c>
      <c r="L19" s="35">
        <f>+'Summary Prenatal to 2'!L19+'Summary 3-4+'!L19</f>
        <v>46517.760000000002</v>
      </c>
      <c r="M19" s="35">
        <f>+'Summary Prenatal to 2'!M19+'Summary 3-4+'!M19</f>
        <v>1414.1126528689756</v>
      </c>
      <c r="N19" s="35">
        <f>+'Summary Prenatal to 2'!N19+'Summary 3-4+'!N19</f>
        <v>26336.724472044887</v>
      </c>
      <c r="O19" s="35">
        <f>+'Summary Prenatal to 2'!O19+'Summary 3-4+'!O19</f>
        <v>6561.4036990000004</v>
      </c>
      <c r="P19" s="35">
        <f>+'Summary Prenatal to 2'!P19+'Summary 3-4+'!P19</f>
        <v>70029.149697846471</v>
      </c>
      <c r="Q19" s="35">
        <f>+'Summary Prenatal to 2'!Q19+'Summary 3-4+'!Q19</f>
        <v>182439.27579458404</v>
      </c>
      <c r="R19" s="35">
        <f>+'Summary Prenatal to 2'!R19+'Summary 3-4+'!R19</f>
        <v>0</v>
      </c>
      <c r="S19" s="35">
        <f>+'Summary Prenatal to 2'!S19+'Summary 3-4+'!S19</f>
        <v>387194.85391333676</v>
      </c>
      <c r="T19" s="35">
        <f t="shared" si="0"/>
        <v>1232550.9586909662</v>
      </c>
    </row>
    <row r="20" spans="1:20" x14ac:dyDescent="0.2">
      <c r="A20" s="41" t="s">
        <v>124</v>
      </c>
      <c r="B20" s="41">
        <v>0</v>
      </c>
      <c r="C20" s="35">
        <f>+'Summary Prenatal to 2'!C20+'Summary 3-4+'!C20</f>
        <v>74765</v>
      </c>
      <c r="D20" s="35">
        <f>+'Summary Prenatal to 2'!D20+'Summary 3-4+'!D20</f>
        <v>138866.18570322456</v>
      </c>
      <c r="E20" s="35">
        <f>+'Summary Prenatal to 2'!E20+'Summary 3-4+'!E20</f>
        <v>614481.48160829954</v>
      </c>
      <c r="F20" s="35">
        <f>+'Summary Prenatal to 2'!F20+'Summary 3-4+'!F20</f>
        <v>68350.786713618043</v>
      </c>
      <c r="G20" s="35">
        <f>+'Summary Prenatal to 2'!G20+'Summary 3-4+'!G20</f>
        <v>15597.790644059427</v>
      </c>
      <c r="H20" s="35">
        <f>+'Summary Prenatal to 2'!H20+'Summary 3-4+'!H20</f>
        <v>13868.958166911863</v>
      </c>
      <c r="I20" s="35">
        <f>+'Summary Prenatal to 2'!I20+'Summary 3-4+'!I20</f>
        <v>13689.391780200702</v>
      </c>
      <c r="J20" s="35">
        <f>+'Summary Prenatal to 2'!J20+'Summary 3-4+'!J20</f>
        <v>30233.374167426475</v>
      </c>
      <c r="K20" s="35">
        <f>+'Summary Prenatal to 2'!K20+'Summary 3-4+'!K20</f>
        <v>86702.580182629215</v>
      </c>
      <c r="L20" s="35">
        <f>+'Summary Prenatal to 2'!L20+'Summary 3-4+'!L20</f>
        <v>83852.920000000013</v>
      </c>
      <c r="M20" s="35">
        <f>+'Summary Prenatal to 2'!M20+'Summary 3-4+'!M20</f>
        <v>3473.7242486627792</v>
      </c>
      <c r="N20" s="35">
        <f>+'Summary Prenatal to 2'!N20+'Summary 3-4+'!N20</f>
        <v>31529.558659173985</v>
      </c>
      <c r="O20" s="35">
        <f>+'Summary Prenatal to 2'!O20+'Summary 3-4+'!O20</f>
        <v>10656.969628760522</v>
      </c>
      <c r="P20" s="35">
        <f>+'Summary Prenatal to 2'!P20+'Summary 3-4+'!P20</f>
        <v>100481.94471739998</v>
      </c>
      <c r="Q20" s="35">
        <f>+'Summary Prenatal to 2'!Q20+'Summary 3-4+'!Q20</f>
        <v>435559.78545133234</v>
      </c>
      <c r="R20" s="35">
        <f>+'Summary Prenatal to 2'!R20+'Summary 3-4+'!R20</f>
        <v>0</v>
      </c>
      <c r="S20" s="35">
        <f>+'Summary Prenatal to 2'!S20+'Summary 3-4+'!S20</f>
        <v>584299.35837374046</v>
      </c>
      <c r="T20" s="35">
        <f t="shared" si="0"/>
        <v>2306409.8100454397</v>
      </c>
    </row>
    <row r="21" spans="1:20" x14ac:dyDescent="0.2">
      <c r="A21" s="41" t="s">
        <v>125</v>
      </c>
      <c r="B21" s="41">
        <v>0</v>
      </c>
      <c r="C21" s="35">
        <f>+'Summary Prenatal to 2'!C21+'Summary 3-4+'!C21</f>
        <v>91066</v>
      </c>
      <c r="D21" s="35">
        <f>+'Summary Prenatal to 2'!D21+'Summary 3-4+'!D21</f>
        <v>167332.7227408262</v>
      </c>
      <c r="E21" s="35">
        <f>+'Summary Prenatal to 2'!E21+'Summary 3-4+'!E21</f>
        <v>731945.2345200337</v>
      </c>
      <c r="F21" s="35">
        <f>+'Summary Prenatal to 2'!F21+'Summary 3-4+'!F21</f>
        <v>81806.153786610666</v>
      </c>
      <c r="G21" s="35">
        <f>+'Summary Prenatal to 2'!G21+'Summary 3-4+'!G21</f>
        <v>12870.764280659376</v>
      </c>
      <c r="H21" s="35">
        <f>+'Summary Prenatal to 2'!H21+'Summary 3-4+'!H21</f>
        <v>20953.068223509868</v>
      </c>
      <c r="I21" s="35">
        <f>+'Summary Prenatal to 2'!I21+'Summary 3-4+'!I21</f>
        <v>11032.582363772506</v>
      </c>
      <c r="J21" s="35">
        <f>+'Summary Prenatal to 2'!J21+'Summary 3-4+'!J21</f>
        <v>25417.766587411199</v>
      </c>
      <c r="K21" s="35">
        <f>+'Summary Prenatal to 2'!K21+'Summary 3-4+'!K21</f>
        <v>10653.524885869871</v>
      </c>
      <c r="L21" s="35">
        <f>+'Summary Prenatal to 2'!L21+'Summary 3-4+'!L21</f>
        <v>75883.5</v>
      </c>
      <c r="M21" s="35">
        <f>+'Summary Prenatal to 2'!M21+'Summary 3-4+'!M21</f>
        <v>4738.4952440376355</v>
      </c>
      <c r="N21" s="35">
        <f>+'Summary Prenatal to 2'!N21+'Summary 3-4+'!N21</f>
        <v>37571.887278885457</v>
      </c>
      <c r="O21" s="35">
        <f>+'Summary Prenatal to 2'!O21+'Summary 3-4+'!O21</f>
        <v>21847.403827470785</v>
      </c>
      <c r="P21" s="35">
        <f>+'Summary Prenatal to 2'!P21+'Summary 3-4+'!P21</f>
        <v>75034.367346970976</v>
      </c>
      <c r="Q21" s="35">
        <f>+'Summary Prenatal to 2'!Q21+'Summary 3-4+'!Q21</f>
        <v>535587.44856493152</v>
      </c>
      <c r="R21" s="35">
        <f>+'Summary Prenatal to 2'!R21+'Summary 3-4+'!R21</f>
        <v>0</v>
      </c>
      <c r="S21" s="35">
        <f>+'Summary Prenatal to 2'!S21+'Summary 3-4+'!S21</f>
        <v>791236.38746184239</v>
      </c>
      <c r="T21" s="35">
        <f t="shared" si="0"/>
        <v>2694977.3071128321</v>
      </c>
    </row>
    <row r="22" spans="1:20" x14ac:dyDescent="0.2">
      <c r="A22" s="41" t="s">
        <v>0</v>
      </c>
      <c r="B22" s="41">
        <v>0</v>
      </c>
      <c r="C22" s="35">
        <f>+'Summary Prenatal to 2'!C22+'Summary 3-4+'!C22</f>
        <v>10587</v>
      </c>
      <c r="D22" s="35">
        <f>+'Summary Prenatal to 2'!D22+'Summary 3-4+'!D22</f>
        <v>98462.537971896963</v>
      </c>
      <c r="E22" s="35">
        <f>+'Summary Prenatal to 2'!E22+'Summary 3-4+'!E22</f>
        <v>190343.11578655324</v>
      </c>
      <c r="F22" s="35">
        <f>+'Summary Prenatal to 2'!F22+'Summary 3-4+'!F22</f>
        <v>15560.325534079348</v>
      </c>
      <c r="G22" s="35">
        <f>+'Summary Prenatal to 2'!G22+'Summary 3-4+'!G22</f>
        <v>49677.52639708278</v>
      </c>
      <c r="H22" s="35">
        <f>+'Summary Prenatal to 2'!H22+'Summary 3-4+'!H22</f>
        <v>3627.2146079016843</v>
      </c>
      <c r="I22" s="35">
        <f>+'Summary Prenatal to 2'!I22+'Summary 3-4+'!I22</f>
        <v>3477.6004748531504</v>
      </c>
      <c r="J22" s="35">
        <f>+'Summary Prenatal to 2'!J22+'Summary 3-4+'!J22</f>
        <v>14911.054161169985</v>
      </c>
      <c r="K22" s="35">
        <f>+'Summary Prenatal to 2'!K22+'Summary 3-4+'!K22</f>
        <v>19418.458411991669</v>
      </c>
      <c r="L22" s="35">
        <f>+'Summary Prenatal to 2'!L22+'Summary 3-4+'!L22</f>
        <v>12177.010000000002</v>
      </c>
      <c r="M22" s="35">
        <f>+'Summary Prenatal to 2'!M22+'Summary 3-4+'!M22</f>
        <v>749.70069117428193</v>
      </c>
      <c r="N22" s="35">
        <f>+'Summary Prenatal to 2'!N22+'Summary 3-4+'!N22</f>
        <v>11652.93686023511</v>
      </c>
      <c r="O22" s="35">
        <f>+'Summary Prenatal to 2'!O22+'Summary 3-4+'!O22</f>
        <v>663.73467442959179</v>
      </c>
      <c r="P22" s="35">
        <f>+'Summary Prenatal to 2'!P22+'Summary 3-4+'!P22</f>
        <v>39613.607564413745</v>
      </c>
      <c r="Q22" s="35">
        <f>+'Summary Prenatal to 2'!Q22+'Summary 3-4+'!Q22</f>
        <v>104175.14179405068</v>
      </c>
      <c r="R22" s="35">
        <f>+'Summary Prenatal to 2'!R22+'Summary 3-4+'!R22</f>
        <v>0</v>
      </c>
      <c r="S22" s="35">
        <f>+'Summary Prenatal to 2'!S22+'Summary 3-4+'!S22</f>
        <v>130093.00957904453</v>
      </c>
      <c r="T22" s="35">
        <f t="shared" si="0"/>
        <v>705189.97450887668</v>
      </c>
    </row>
    <row r="23" spans="1:20" x14ac:dyDescent="0.2">
      <c r="A23" s="41" t="s">
        <v>1</v>
      </c>
      <c r="B23" s="41">
        <v>0</v>
      </c>
      <c r="C23" s="35">
        <f>+'Summary Prenatal to 2'!C23+'Summary 3-4+'!C23</f>
        <v>103262</v>
      </c>
      <c r="D23" s="35">
        <f>+'Summary Prenatal to 2'!D23+'Summary 3-4+'!D23</f>
        <v>123865.27976138896</v>
      </c>
      <c r="E23" s="35">
        <f>+'Summary Prenatal to 2'!E23+'Summary 3-4+'!E23</f>
        <v>737120.85477153037</v>
      </c>
      <c r="F23" s="35">
        <f>+'Summary Prenatal to 2'!F23+'Summary 3-4+'!F23</f>
        <v>93495.41640261357</v>
      </c>
      <c r="G23" s="35">
        <f>+'Summary Prenatal to 2'!G23+'Summary 3-4+'!G23</f>
        <v>92535.749853920512</v>
      </c>
      <c r="H23" s="35">
        <f>+'Summary Prenatal to 2'!H23+'Summary 3-4+'!H23</f>
        <v>18889.068922851617</v>
      </c>
      <c r="I23" s="35">
        <f>+'Summary Prenatal to 2'!I23+'Summary 3-4+'!I23</f>
        <v>8346.0037557017422</v>
      </c>
      <c r="J23" s="35">
        <f>+'Summary Prenatal to 2'!J23+'Summary 3-4+'!J23</f>
        <v>32387.023245274595</v>
      </c>
      <c r="K23" s="35">
        <f>+'Summary Prenatal to 2'!K23+'Summary 3-4+'!K23</f>
        <v>93621.060300639976</v>
      </c>
      <c r="L23" s="35">
        <f>+'Summary Prenatal to 2'!L23+'Summary 3-4+'!L23</f>
        <v>72309.050000000017</v>
      </c>
      <c r="M23" s="35">
        <f>+'Summary Prenatal to 2'!M23+'Summary 3-4+'!M23</f>
        <v>2263.0711855410427</v>
      </c>
      <c r="N23" s="35">
        <f>+'Summary Prenatal to 2'!N23+'Summary 3-4+'!N23</f>
        <v>59723.554921863375</v>
      </c>
      <c r="O23" s="35">
        <f>+'Summary Prenatal to 2'!O23+'Summary 3-4+'!O23</f>
        <v>9696.4748599325303</v>
      </c>
      <c r="P23" s="35">
        <f>+'Summary Prenatal to 2'!P23+'Summary 3-4+'!P23</f>
        <v>209678.81019378139</v>
      </c>
      <c r="Q23" s="35">
        <f>+'Summary Prenatal to 2'!Q23+'Summary 3-4+'!Q23</f>
        <v>386064.4778965002</v>
      </c>
      <c r="R23" s="35">
        <f>+'Summary Prenatal to 2'!R23+'Summary 3-4+'!R23</f>
        <v>0</v>
      </c>
      <c r="S23" s="35">
        <f>+'Summary Prenatal to 2'!S23+'Summary 3-4+'!S23</f>
        <v>681043.78947023582</v>
      </c>
      <c r="T23" s="35">
        <f t="shared" si="0"/>
        <v>2724301.685541776</v>
      </c>
    </row>
    <row r="24" spans="1:20" x14ac:dyDescent="0.2">
      <c r="A24" s="41" t="s">
        <v>2</v>
      </c>
      <c r="B24" s="41">
        <v>0</v>
      </c>
      <c r="C24" s="35">
        <f>+'Summary Prenatal to 2'!C24+'Summary 3-4+'!C24</f>
        <v>53840</v>
      </c>
      <c r="D24" s="35">
        <f>+'Summary Prenatal to 2'!D24+'Summary 3-4+'!D24</f>
        <v>169074.82236364754</v>
      </c>
      <c r="E24" s="35">
        <f>+'Summary Prenatal to 2'!E24+'Summary 3-4+'!E24</f>
        <v>742681.89737174369</v>
      </c>
      <c r="F24" s="35">
        <f>+'Summary Prenatal to 2'!F24+'Summary 3-4+'!F24</f>
        <v>172908.38766263612</v>
      </c>
      <c r="G24" s="35">
        <f>+'Summary Prenatal to 2'!G24+'Summary 3-4+'!G24</f>
        <v>23914.194966159917</v>
      </c>
      <c r="H24" s="35">
        <f>+'Summary Prenatal to 2'!H24+'Summary 3-4+'!H24</f>
        <v>19344.294397568887</v>
      </c>
      <c r="I24" s="35">
        <f>+'Summary Prenatal to 2'!I24+'Summary 3-4+'!I24</f>
        <v>15308.724765366433</v>
      </c>
      <c r="J24" s="35">
        <f>+'Summary Prenatal to 2'!J24+'Summary 3-4+'!J24</f>
        <v>32655.993632838952</v>
      </c>
      <c r="K24" s="35">
        <f>+'Summary Prenatal to 2'!K24+'Summary 3-4+'!K24</f>
        <v>138321.17725156358</v>
      </c>
      <c r="L24" s="35">
        <f>+'Summary Prenatal to 2'!L24+'Summary 3-4+'!L24</f>
        <v>152694.08000000002</v>
      </c>
      <c r="M24" s="35">
        <f>+'Summary Prenatal to 2'!M24+'Summary 3-4+'!M24</f>
        <v>2768.7324468363868</v>
      </c>
      <c r="N24" s="35">
        <f>+'Summary Prenatal to 2'!N24+'Summary 3-4+'!N24</f>
        <v>46337.910005958271</v>
      </c>
      <c r="O24" s="35">
        <f>+'Summary Prenatal to 2'!O24+'Summary 3-4+'!O24</f>
        <v>20877.551182074076</v>
      </c>
      <c r="P24" s="35">
        <f>+'Summary Prenatal to 2'!P24+'Summary 3-4+'!P24</f>
        <v>374655.57434666139</v>
      </c>
      <c r="Q24" s="35">
        <f>+'Summary Prenatal to 2'!Q24+'Summary 3-4+'!Q24</f>
        <v>436703.50558948389</v>
      </c>
      <c r="R24" s="35">
        <f>+'Summary Prenatal to 2'!R24+'Summary 3-4+'!R24</f>
        <v>0</v>
      </c>
      <c r="S24" s="35">
        <f>+'Summary Prenatal to 2'!S24+'Summary 3-4+'!S24</f>
        <v>563919.30657304218</v>
      </c>
      <c r="T24" s="35">
        <f t="shared" si="0"/>
        <v>2966006.1525555812</v>
      </c>
    </row>
    <row r="25" spans="1:20" x14ac:dyDescent="0.2">
      <c r="A25" s="41" t="s">
        <v>3</v>
      </c>
      <c r="B25" s="41">
        <v>0</v>
      </c>
      <c r="C25" s="35">
        <f>+'Summary Prenatal to 2'!C25+'Summary 3-4+'!C25</f>
        <v>104275</v>
      </c>
      <c r="D25" s="35">
        <f>+'Summary Prenatal to 2'!D25+'Summary 3-4+'!D25</f>
        <v>262536.68652884237</v>
      </c>
      <c r="E25" s="35">
        <f>+'Summary Prenatal to 2'!E25+'Summary 3-4+'!E25</f>
        <v>1043021.2460759934</v>
      </c>
      <c r="F25" s="35">
        <f>+'Summary Prenatal to 2'!F25+'Summary 3-4+'!F25</f>
        <v>23376.1250051881</v>
      </c>
      <c r="G25" s="35">
        <f>+'Summary Prenatal to 2'!G25+'Summary 3-4+'!G25</f>
        <v>51396.800279445313</v>
      </c>
      <c r="H25" s="35">
        <f>+'Summary Prenatal to 2'!H25+'Summary 3-4+'!H25</f>
        <v>27608.035510706832</v>
      </c>
      <c r="I25" s="35">
        <f>+'Summary Prenatal to 2'!I25+'Summary 3-4+'!I25</f>
        <v>14572.05595856842</v>
      </c>
      <c r="J25" s="35">
        <f>+'Summary Prenatal to 2'!J25+'Summary 3-4+'!J25</f>
        <v>94915.132815962104</v>
      </c>
      <c r="K25" s="35">
        <f>+'Summary Prenatal to 2'!K25+'Summary 3-4+'!K25</f>
        <v>94792.28902230828</v>
      </c>
      <c r="L25" s="35">
        <f>+'Summary Prenatal to 2'!L25+'Summary 3-4+'!L25</f>
        <v>105015.12</v>
      </c>
      <c r="M25" s="35">
        <f>+'Summary Prenatal to 2'!M25+'Summary 3-4+'!M25</f>
        <v>5946.4145737046174</v>
      </c>
      <c r="N25" s="35">
        <f>+'Summary Prenatal to 2'!N25+'Summary 3-4+'!N25</f>
        <v>98233.056808727444</v>
      </c>
      <c r="O25" s="35">
        <f>+'Summary Prenatal to 2'!O25+'Summary 3-4+'!O25</f>
        <v>41997.347970222007</v>
      </c>
      <c r="P25" s="35">
        <f>+'Summary Prenatal to 2'!P25+'Summary 3-4+'!P25</f>
        <v>660805.93078549276</v>
      </c>
      <c r="Q25" s="35">
        <f>+'Summary Prenatal to 2'!Q25+'Summary 3-4+'!Q25</f>
        <v>954368.25807015016</v>
      </c>
      <c r="R25" s="35">
        <f>+'Summary Prenatal to 2'!R25+'Summary 3-4+'!R25</f>
        <v>0</v>
      </c>
      <c r="S25" s="35">
        <f>+'Summary Prenatal to 2'!S25+'Summary 3-4+'!S25</f>
        <v>1234581.7069443522</v>
      </c>
      <c r="T25" s="35">
        <f t="shared" si="0"/>
        <v>4817441.2063496644</v>
      </c>
    </row>
    <row r="26" spans="1:20" x14ac:dyDescent="0.2">
      <c r="A26" s="41" t="s">
        <v>4</v>
      </c>
      <c r="B26" s="41">
        <v>0</v>
      </c>
      <c r="C26" s="35">
        <f>+'Summary Prenatal to 2'!C26+'Summary 3-4+'!C26</f>
        <v>13764</v>
      </c>
      <c r="D26" s="35">
        <f>+'Summary Prenatal to 2'!D26+'Summary 3-4+'!D26</f>
        <v>86565.208668990381</v>
      </c>
      <c r="E26" s="35">
        <f>+'Summary Prenatal to 2'!E26+'Summary 3-4+'!E26</f>
        <v>804127.54872634867</v>
      </c>
      <c r="F26" s="35">
        <f>+'Summary Prenatal to 2'!F26+'Summary 3-4+'!F26</f>
        <v>7668.2574838242745</v>
      </c>
      <c r="G26" s="35">
        <f>+'Summary Prenatal to 2'!G26+'Summary 3-4+'!G26</f>
        <v>74556.04320420578</v>
      </c>
      <c r="H26" s="35">
        <f>+'Summary Prenatal to 2'!H26+'Summary 3-4+'!H26</f>
        <v>12793.075186699349</v>
      </c>
      <c r="I26" s="35">
        <f>+'Summary Prenatal to 2'!I26+'Summary 3-4+'!I26</f>
        <v>4941.5645125408646</v>
      </c>
      <c r="J26" s="35">
        <f>+'Summary Prenatal to 2'!J26+'Summary 3-4+'!J26</f>
        <v>23887.31930057329</v>
      </c>
      <c r="K26" s="35">
        <f>+'Summary Prenatal to 2'!K26+'Summary 3-4+'!K26</f>
        <v>102221.25173412489</v>
      </c>
      <c r="L26" s="35">
        <f>+'Summary Prenatal to 2'!L26+'Summary 3-4+'!L26</f>
        <v>107251.1</v>
      </c>
      <c r="M26" s="35">
        <f>+'Summary Prenatal to 2'!M26+'Summary 3-4+'!M26</f>
        <v>2287.424160206243</v>
      </c>
      <c r="N26" s="35">
        <f>+'Summary Prenatal to 2'!N26+'Summary 3-4+'!N26</f>
        <v>79138.34679676652</v>
      </c>
      <c r="O26" s="35">
        <f>+'Summary Prenatal to 2'!O26+'Summary 3-4+'!O26</f>
        <v>6089.620858436685</v>
      </c>
      <c r="P26" s="35">
        <f>+'Summary Prenatal to 2'!P26+'Summary 3-4+'!P26</f>
        <v>159261.27869877298</v>
      </c>
      <c r="Q26" s="35">
        <f>+'Summary Prenatal to 2'!Q26+'Summary 3-4+'!Q26</f>
        <v>312721.97414754692</v>
      </c>
      <c r="R26" s="35">
        <f>+'Summary Prenatal to 2'!R26+'Summary 3-4+'!R26</f>
        <v>0</v>
      </c>
      <c r="S26" s="35">
        <f>+'Summary Prenatal to 2'!S26+'Summary 3-4+'!S26</f>
        <v>630885.89355040679</v>
      </c>
      <c r="T26" s="35">
        <f t="shared" si="0"/>
        <v>2428159.9070294439</v>
      </c>
    </row>
    <row r="27" spans="1:20" x14ac:dyDescent="0.2">
      <c r="A27" s="41" t="s">
        <v>5</v>
      </c>
      <c r="B27" s="41">
        <v>0</v>
      </c>
      <c r="C27" s="35">
        <f>+'Summary Prenatal to 2'!C27+'Summary 3-4+'!C27</f>
        <v>0</v>
      </c>
      <c r="D27" s="35">
        <f>+'Summary Prenatal to 2'!D27+'Summary 3-4+'!D27</f>
        <v>207909.94865673626</v>
      </c>
      <c r="E27" s="35">
        <f>+'Summary Prenatal to 2'!E27+'Summary 3-4+'!E27</f>
        <v>471897.64159115695</v>
      </c>
      <c r="F27" s="35">
        <f>+'Summary Prenatal to 2'!F27+'Summary 3-4+'!F27</f>
        <v>77431.597215436268</v>
      </c>
      <c r="G27" s="35">
        <f>+'Summary Prenatal to 2'!G27+'Summary 3-4+'!G27</f>
        <v>27230.222975481523</v>
      </c>
      <c r="H27" s="35">
        <f>+'Summary Prenatal to 2'!H27+'Summary 3-4+'!H27</f>
        <v>13494.129386644629</v>
      </c>
      <c r="I27" s="35">
        <f>+'Summary Prenatal to 2'!I27+'Summary 3-4+'!I27</f>
        <v>6535.8812980238363</v>
      </c>
      <c r="J27" s="35">
        <f>+'Summary Prenatal to 2'!J27+'Summary 3-4+'!J27</f>
        <v>8333.6451243524716</v>
      </c>
      <c r="K27" s="35">
        <f>+'Summary Prenatal to 2'!K27+'Summary 3-4+'!K27</f>
        <v>14586.470562822255</v>
      </c>
      <c r="L27" s="35">
        <f>+'Summary Prenatal to 2'!L27+'Summary 3-4+'!L27</f>
        <v>43606.62</v>
      </c>
      <c r="M27" s="35">
        <f>+'Summary Prenatal to 2'!M27+'Summary 3-4+'!M27</f>
        <v>2677.1991567715845</v>
      </c>
      <c r="N27" s="35">
        <f>+'Summary Prenatal to 2'!N27+'Summary 3-4+'!N27</f>
        <v>14751.647888930183</v>
      </c>
      <c r="O27" s="35">
        <f>+'Summary Prenatal to 2'!O27+'Summary 3-4+'!O27</f>
        <v>6035.0496310974513</v>
      </c>
      <c r="P27" s="35">
        <f>+'Summary Prenatal to 2'!P27+'Summary 3-4+'!P27</f>
        <v>36492.767376647222</v>
      </c>
      <c r="Q27" s="35">
        <f>+'Summary Prenatal to 2'!Q27+'Summary 3-4+'!Q27</f>
        <v>322336.3276962802</v>
      </c>
      <c r="R27" s="35">
        <f>+'Summary Prenatal to 2'!R27+'Summary 3-4+'!R27</f>
        <v>0</v>
      </c>
      <c r="S27" s="35">
        <f>+'Summary Prenatal to 2'!S27+'Summary 3-4+'!S27</f>
        <v>583817.43681198359</v>
      </c>
      <c r="T27" s="35">
        <f t="shared" si="0"/>
        <v>1837136.5853723644</v>
      </c>
    </row>
    <row r="28" spans="1:20" x14ac:dyDescent="0.2">
      <c r="A28" s="41" t="s">
        <v>6</v>
      </c>
      <c r="B28" s="41">
        <v>0</v>
      </c>
      <c r="C28" s="35">
        <f>+'Summary Prenatal to 2'!C28+'Summary 3-4+'!C28</f>
        <v>11005</v>
      </c>
      <c r="D28" s="35">
        <f>+'Summary Prenatal to 2'!D28+'Summary 3-4+'!D28</f>
        <v>136672.6566721657</v>
      </c>
      <c r="E28" s="35">
        <f>+'Summary Prenatal to 2'!E28+'Summary 3-4+'!E28</f>
        <v>969627.01988015312</v>
      </c>
      <c r="F28" s="35">
        <f>+'Summary Prenatal to 2'!F28+'Summary 3-4+'!F28</f>
        <v>61433.541029368629</v>
      </c>
      <c r="G28" s="35">
        <f>+'Summary Prenatal to 2'!G28+'Summary 3-4+'!G28</f>
        <v>21860.410633069136</v>
      </c>
      <c r="H28" s="35">
        <f>+'Summary Prenatal to 2'!H28+'Summary 3-4+'!H28</f>
        <v>18088.43896049734</v>
      </c>
      <c r="I28" s="35">
        <f>+'Summary Prenatal to 2'!I28+'Summary 3-4+'!I28</f>
        <v>7876.379169561269</v>
      </c>
      <c r="J28" s="35">
        <f>+'Summary Prenatal to 2'!J28+'Summary 3-4+'!J28</f>
        <v>38074.244445982287</v>
      </c>
      <c r="K28" s="35">
        <f>+'Summary Prenatal to 2'!K28+'Summary 3-4+'!K28</f>
        <v>65543.577208001574</v>
      </c>
      <c r="L28" s="35">
        <f>+'Summary Prenatal to 2'!L28+'Summary 3-4+'!L28</f>
        <v>94443.07</v>
      </c>
      <c r="M28" s="35">
        <f>+'Summary Prenatal to 2'!M28+'Summary 3-4+'!M28</f>
        <v>5569.6032525452738</v>
      </c>
      <c r="N28" s="35">
        <f>+'Summary Prenatal to 2'!N28+'Summary 3-4+'!N28</f>
        <v>37869.340157822546</v>
      </c>
      <c r="O28" s="35">
        <f>+'Summary Prenatal to 2'!O28+'Summary 3-4+'!O28</f>
        <v>16786.232582518052</v>
      </c>
      <c r="P28" s="35">
        <f>+'Summary Prenatal to 2'!P28+'Summary 3-4+'!P28</f>
        <v>192254.34284392145</v>
      </c>
      <c r="Q28" s="35">
        <f>+'Summary Prenatal to 2'!Q28+'Summary 3-4+'!Q28</f>
        <v>467275.13688291144</v>
      </c>
      <c r="R28" s="35">
        <f>+'Summary Prenatal to 2'!R28+'Summary 3-4+'!R28</f>
        <v>0</v>
      </c>
      <c r="S28" s="35">
        <f>+'Summary Prenatal to 2'!S28+'Summary 3-4+'!S28</f>
        <v>764101.51435803785</v>
      </c>
      <c r="T28" s="35">
        <f t="shared" si="0"/>
        <v>2908480.508076556</v>
      </c>
    </row>
    <row r="29" spans="1:20" x14ac:dyDescent="0.2">
      <c r="A29" s="41" t="s">
        <v>7</v>
      </c>
      <c r="B29" s="41">
        <v>0</v>
      </c>
      <c r="C29" s="35">
        <f>+'Summary Prenatal to 2'!C29+'Summary 3-4+'!C29</f>
        <v>0</v>
      </c>
      <c r="D29" s="35">
        <f>+'Summary Prenatal to 2'!D29+'Summary 3-4+'!D29</f>
        <v>23667.148862831858</v>
      </c>
      <c r="E29" s="35">
        <f>+'Summary Prenatal to 2'!E29+'Summary 3-4+'!E29</f>
        <v>102593.57302631879</v>
      </c>
      <c r="F29" s="35">
        <f>+'Summary Prenatal to 2'!F29+'Summary 3-4+'!F29</f>
        <v>28116.829396565525</v>
      </c>
      <c r="G29" s="35">
        <f>+'Summary Prenatal to 2'!G29+'Summary 3-4+'!G29</f>
        <v>26734.545920282595</v>
      </c>
      <c r="H29" s="35">
        <f>+'Summary Prenatal to 2'!H29+'Summary 3-4+'!H29</f>
        <v>2638.7920533020992</v>
      </c>
      <c r="I29" s="35">
        <f>+'Summary Prenatal to 2'!I29+'Summary 3-4+'!I29</f>
        <v>1296.0757845571673</v>
      </c>
      <c r="J29" s="35">
        <f>+'Summary Prenatal to 2'!J29+'Summary 3-4+'!J29</f>
        <v>7896.5495269844141</v>
      </c>
      <c r="K29" s="35">
        <f>+'Summary Prenatal to 2'!K29+'Summary 3-4+'!K29</f>
        <v>9903.1483737273629</v>
      </c>
      <c r="L29" s="35">
        <f>+'Summary Prenatal to 2'!L29+'Summary 3-4+'!L29</f>
        <v>17398.440000000002</v>
      </c>
      <c r="M29" s="35">
        <f>+'Summary Prenatal to 2'!M29+'Summary 3-4+'!M29</f>
        <v>414.44216937667915</v>
      </c>
      <c r="N29" s="35">
        <f>+'Summary Prenatal to 2'!N29+'Summary 3-4+'!N29</f>
        <v>7120.7973330930718</v>
      </c>
      <c r="O29" s="35">
        <f>+'Summary Prenatal to 2'!O29+'Summary 3-4+'!O29</f>
        <v>1767.892212225237</v>
      </c>
      <c r="P29" s="35">
        <f>+'Summary Prenatal to 2'!P29+'Summary 3-4+'!P29</f>
        <v>17210.072715823037</v>
      </c>
      <c r="Q29" s="35">
        <f>+'Summary Prenatal to 2'!Q29+'Summary 3-4+'!Q29</f>
        <v>68507.806761286556</v>
      </c>
      <c r="R29" s="35">
        <f>+'Summary Prenatal to 2'!R29+'Summary 3-4+'!R29</f>
        <v>0</v>
      </c>
      <c r="S29" s="35">
        <f>+'Summary Prenatal to 2'!S29+'Summary 3-4+'!S29</f>
        <v>109894.40185381578</v>
      </c>
      <c r="T29" s="35">
        <f t="shared" si="0"/>
        <v>425160.51599019021</v>
      </c>
    </row>
    <row r="30" spans="1:20" x14ac:dyDescent="0.2">
      <c r="A30" s="41" t="s">
        <v>8</v>
      </c>
      <c r="B30" s="41">
        <v>0</v>
      </c>
      <c r="C30" s="35">
        <f>+'Summary Prenatal to 2'!C30+'Summary 3-4+'!C30</f>
        <v>9629</v>
      </c>
      <c r="D30" s="35">
        <f>+'Summary Prenatal to 2'!D30+'Summary 3-4+'!D30</f>
        <v>116365.99622735346</v>
      </c>
      <c r="E30" s="35">
        <f>+'Summary Prenatal to 2'!E30+'Summary 3-4+'!E30</f>
        <v>180442.59579658334</v>
      </c>
      <c r="F30" s="35">
        <f>+'Summary Prenatal to 2'!F30+'Summary 3-4+'!F30</f>
        <v>23809.881369141134</v>
      </c>
      <c r="G30" s="35">
        <f>+'Summary Prenatal to 2'!G30+'Summary 3-4+'!G30</f>
        <v>3394.9047664864875</v>
      </c>
      <c r="H30" s="35">
        <f>+'Summary Prenatal to 2'!H30+'Summary 3-4+'!H30</f>
        <v>7123.1917351517568</v>
      </c>
      <c r="I30" s="35">
        <f>+'Summary Prenatal to 2'!I30+'Summary 3-4+'!I30</f>
        <v>1940.2321163280499</v>
      </c>
      <c r="J30" s="35">
        <f>+'Summary Prenatal to 2'!J30+'Summary 3-4+'!J30</f>
        <v>10638.409523429829</v>
      </c>
      <c r="K30" s="35">
        <f>+'Summary Prenatal to 2'!K30+'Summary 3-4+'!K30</f>
        <v>48138.296462058031</v>
      </c>
      <c r="L30" s="35">
        <f>+'Summary Prenatal to 2'!L30+'Summary 3-4+'!L30</f>
        <v>59641.95</v>
      </c>
      <c r="M30" s="35">
        <f>+'Summary Prenatal to 2'!M30+'Summary 3-4+'!M30</f>
        <v>1093.8501171970952</v>
      </c>
      <c r="N30" s="35">
        <f>+'Summary Prenatal to 2'!N30+'Summary 3-4+'!N30</f>
        <v>16429.711841693548</v>
      </c>
      <c r="O30" s="35">
        <f>+'Summary Prenatal to 2'!O30+'Summary 3-4+'!O30</f>
        <v>1217.3390499685108</v>
      </c>
      <c r="P30" s="35">
        <f>+'Summary Prenatal to 2'!P30+'Summary 3-4+'!P30</f>
        <v>32483.570075096133</v>
      </c>
      <c r="Q30" s="35">
        <f>+'Summary Prenatal to 2'!Q30+'Summary 3-4+'!Q30</f>
        <v>115679.67331858372</v>
      </c>
      <c r="R30" s="35">
        <f>+'Summary Prenatal to 2'!R30+'Summary 3-4+'!R30</f>
        <v>0</v>
      </c>
      <c r="S30" s="35">
        <f>+'Summary Prenatal to 2'!S30+'Summary 3-4+'!S30</f>
        <v>245629.22290836705</v>
      </c>
      <c r="T30" s="35">
        <f t="shared" si="0"/>
        <v>873657.82530743815</v>
      </c>
    </row>
    <row r="31" spans="1:20" x14ac:dyDescent="0.2">
      <c r="A31" s="41" t="s">
        <v>92</v>
      </c>
      <c r="B31" s="41">
        <v>0</v>
      </c>
      <c r="C31" s="35">
        <f>+'Summary Prenatal to 2'!C31+'Summary 3-4+'!C31</f>
        <v>3339</v>
      </c>
      <c r="D31" s="35">
        <f>+'Summary Prenatal to 2'!D31+'Summary 3-4+'!D31</f>
        <v>32100.208133362292</v>
      </c>
      <c r="E31" s="35">
        <f>+'Summary Prenatal to 2'!E31+'Summary 3-4+'!E31</f>
        <v>239386.95766372996</v>
      </c>
      <c r="F31" s="35">
        <f>+'Summary Prenatal to 2'!F31+'Summary 3-4+'!F31</f>
        <v>16733.959865323308</v>
      </c>
      <c r="G31" s="35">
        <f>+'Summary Prenatal to 2'!G31+'Summary 3-4+'!G31</f>
        <v>8464.3695323707288</v>
      </c>
      <c r="H31" s="35">
        <f>+'Summary Prenatal to 2'!H31+'Summary 3-4+'!H31</f>
        <v>10446.572273090178</v>
      </c>
      <c r="I31" s="35">
        <f>+'Summary Prenatal to 2'!I31+'Summary 3-4+'!I31</f>
        <v>999.04801206179195</v>
      </c>
      <c r="J31" s="35">
        <f>+'Summary Prenatal to 2'!J31+'Summary 3-4+'!J31</f>
        <v>22702.213256367329</v>
      </c>
      <c r="K31" s="35">
        <f>+'Summary Prenatal to 2'!K31+'Summary 3-4+'!K31</f>
        <v>16836.998315206991</v>
      </c>
      <c r="L31" s="35">
        <f>+'Summary Prenatal to 2'!L31+'Summary 3-4+'!L31</f>
        <v>27492.850000000002</v>
      </c>
      <c r="M31" s="35">
        <f>+'Summary Prenatal to 2'!M31+'Summary 3-4+'!M31</f>
        <v>2033.9368991413187</v>
      </c>
      <c r="N31" s="35">
        <f>+'Summary Prenatal to 2'!N31+'Summary 3-4+'!N31</f>
        <v>23312.086949183446</v>
      </c>
      <c r="O31" s="35">
        <f>+'Summary Prenatal to 2'!O31+'Summary 3-4+'!O31</f>
        <v>3783.7540178833065</v>
      </c>
      <c r="P31" s="35">
        <f>+'Summary Prenatal to 2'!P31+'Summary 3-4+'!P31</f>
        <v>38335.534886810907</v>
      </c>
      <c r="Q31" s="35">
        <f>+'Summary Prenatal to 2'!Q31+'Summary 3-4+'!Q31</f>
        <v>180476.70012101808</v>
      </c>
      <c r="R31" s="35">
        <f>+'Summary Prenatal to 2'!R31+'Summary 3-4+'!R31</f>
        <v>0</v>
      </c>
      <c r="S31" s="35">
        <f>+'Summary Prenatal to 2'!S31+'Summary 3-4+'!S31</f>
        <v>376767.16375577054</v>
      </c>
      <c r="T31" s="35">
        <f t="shared" si="0"/>
        <v>1003211.3536813201</v>
      </c>
    </row>
    <row r="32" spans="1:20" x14ac:dyDescent="0.2">
      <c r="A32" s="41" t="s">
        <v>9</v>
      </c>
      <c r="B32" s="41">
        <v>0</v>
      </c>
      <c r="C32" s="35">
        <f>+'Summary Prenatal to 2'!C32+'Summary 3-4+'!C32</f>
        <v>0</v>
      </c>
      <c r="D32" s="35">
        <f>+'Summary Prenatal to 2'!D32+'Summary 3-4+'!D32</f>
        <v>114517.62192640294</v>
      </c>
      <c r="E32" s="35">
        <f>+'Summary Prenatal to 2'!E32+'Summary 3-4+'!E32</f>
        <v>129378.6727633174</v>
      </c>
      <c r="F32" s="35">
        <f>+'Summary Prenatal to 2'!F32+'Summary 3-4+'!F32</f>
        <v>6899.7147543321689</v>
      </c>
      <c r="G32" s="35">
        <f>+'Summary Prenatal to 2'!G32+'Summary 3-4+'!G32</f>
        <v>10592.495902739698</v>
      </c>
      <c r="H32" s="35">
        <f>+'Summary Prenatal to 2'!H32+'Summary 3-4+'!H32</f>
        <v>2657.2421465507205</v>
      </c>
      <c r="I32" s="35">
        <f>+'Summary Prenatal to 2'!I32+'Summary 3-4+'!I32</f>
        <v>1558.5382860646196</v>
      </c>
      <c r="J32" s="35">
        <f>+'Summary Prenatal to 2'!J32+'Summary 3-4+'!J32</f>
        <v>5131.8942593508946</v>
      </c>
      <c r="K32" s="35">
        <f>+'Summary Prenatal to 2'!K32+'Summary 3-4+'!K32</f>
        <v>8587.0402852568768</v>
      </c>
      <c r="L32" s="35">
        <f>+'Summary Prenatal to 2'!L32+'Summary 3-4+'!L32</f>
        <v>18083.649999999998</v>
      </c>
      <c r="M32" s="35">
        <f>+'Summary Prenatal to 2'!M32+'Summary 3-4+'!M32</f>
        <v>569.31648233306225</v>
      </c>
      <c r="N32" s="35">
        <f>+'Summary Prenatal to 2'!N32+'Summary 3-4+'!N32</f>
        <v>7913.2081501964785</v>
      </c>
      <c r="O32" s="35">
        <f>+'Summary Prenatal to 2'!O32+'Summary 3-4+'!O32</f>
        <v>929.20054875006826</v>
      </c>
      <c r="P32" s="35">
        <f>+'Summary Prenatal to 2'!P32+'Summary 3-4+'!P32</f>
        <v>30187.783855463473</v>
      </c>
      <c r="Q32" s="35">
        <f>+'Summary Prenatal to 2'!Q32+'Summary 3-4+'!Q32</f>
        <v>53819.099146559223</v>
      </c>
      <c r="R32" s="35">
        <f>+'Summary Prenatal to 2'!R32+'Summary 3-4+'!R32</f>
        <v>0</v>
      </c>
      <c r="S32" s="35">
        <f>+'Summary Prenatal to 2'!S32+'Summary 3-4+'!S32</f>
        <v>99843.942122640365</v>
      </c>
      <c r="T32" s="35">
        <f t="shared" si="0"/>
        <v>490669.42062995798</v>
      </c>
    </row>
    <row r="33" spans="1:20" x14ac:dyDescent="0.2">
      <c r="A33" s="41" t="s">
        <v>10</v>
      </c>
      <c r="B33" s="41">
        <v>0</v>
      </c>
      <c r="C33" s="35">
        <f>+'Summary Prenatal to 2'!C33+'Summary 3-4+'!C33</f>
        <v>600894</v>
      </c>
      <c r="D33" s="35">
        <f>+'Summary Prenatal to 2'!D33+'Summary 3-4+'!D33</f>
        <v>168219.82763296104</v>
      </c>
      <c r="E33" s="35">
        <f>+'Summary Prenatal to 2'!E33+'Summary 3-4+'!E33</f>
        <v>870133.32159793167</v>
      </c>
      <c r="F33" s="35">
        <f>+'Summary Prenatal to 2'!F33+'Summary 3-4+'!F33</f>
        <v>346963.07337231562</v>
      </c>
      <c r="G33" s="35">
        <f>+'Summary Prenatal to 2'!G33+'Summary 3-4+'!G33</f>
        <v>84957.968147322768</v>
      </c>
      <c r="H33" s="35">
        <f>+'Summary Prenatal to 2'!H33+'Summary 3-4+'!H33</f>
        <v>21182.114277514527</v>
      </c>
      <c r="I33" s="35">
        <f>+'Summary Prenatal to 2'!I33+'Summary 3-4+'!I33</f>
        <v>46767.108445319354</v>
      </c>
      <c r="J33" s="35">
        <f>+'Summary Prenatal to 2'!J33+'Summary 3-4+'!J33</f>
        <v>69041.467613431611</v>
      </c>
      <c r="K33" s="35">
        <f>+'Summary Prenatal to 2'!K33+'Summary 3-4+'!K33</f>
        <v>170082.47798294894</v>
      </c>
      <c r="L33" s="35">
        <f>+'Summary Prenatal to 2'!L33+'Summary 3-4+'!L33</f>
        <v>146005.72</v>
      </c>
      <c r="M33" s="35">
        <f>+'Summary Prenatal to 2'!M33+'Summary 3-4+'!M33</f>
        <v>3502.3293095198292</v>
      </c>
      <c r="N33" s="35">
        <f>+'Summary Prenatal to 2'!N33+'Summary 3-4+'!N33</f>
        <v>122418.45092736618</v>
      </c>
      <c r="O33" s="35">
        <f>+'Summary Prenatal to 2'!O33+'Summary 3-4+'!O33</f>
        <v>13149.743850839006</v>
      </c>
      <c r="P33" s="35">
        <f>+'Summary Prenatal to 2'!P33+'Summary 3-4+'!P33</f>
        <v>397942.73578305379</v>
      </c>
      <c r="Q33" s="35">
        <f>+'Summary Prenatal to 2'!Q33+'Summary 3-4+'!Q33</f>
        <v>524191.30863044586</v>
      </c>
      <c r="R33" s="35">
        <f>+'Summary Prenatal to 2'!R33+'Summary 3-4+'!R33</f>
        <v>0</v>
      </c>
      <c r="S33" s="35">
        <f>+'Summary Prenatal to 2'!S33+'Summary 3-4+'!S33</f>
        <v>918637.93294302013</v>
      </c>
      <c r="T33" s="35">
        <f t="shared" si="0"/>
        <v>4504089.5805139905</v>
      </c>
    </row>
    <row r="34" spans="1:20" x14ac:dyDescent="0.2">
      <c r="A34" s="41" t="s">
        <v>11</v>
      </c>
      <c r="B34" s="41">
        <v>0</v>
      </c>
      <c r="C34" s="35">
        <f>+'Summary Prenatal to 2'!C34+'Summary 3-4+'!C34</f>
        <v>14514</v>
      </c>
      <c r="D34" s="35">
        <f>+'Summary Prenatal to 2'!D34+'Summary 3-4+'!D34</f>
        <v>485224.39311456913</v>
      </c>
      <c r="E34" s="35">
        <f>+'Summary Prenatal to 2'!E34+'Summary 3-4+'!E34</f>
        <v>681756.22844100557</v>
      </c>
      <c r="F34" s="35">
        <f>+'Summary Prenatal to 2'!F34+'Summary 3-4+'!F34</f>
        <v>58140.18901769699</v>
      </c>
      <c r="G34" s="35">
        <f>+'Summary Prenatal to 2'!G34+'Summary 3-4+'!G34</f>
        <v>40010.462598310405</v>
      </c>
      <c r="H34" s="35">
        <f>+'Summary Prenatal to 2'!H34+'Summary 3-4+'!H34</f>
        <v>11038.355669156095</v>
      </c>
      <c r="I34" s="35">
        <f>+'Summary Prenatal to 2'!I34+'Summary 3-4+'!I34</f>
        <v>2531.006505670221</v>
      </c>
      <c r="J34" s="35">
        <f>+'Summary Prenatal to 2'!J34+'Summary 3-4+'!J34</f>
        <v>17847.883105450179</v>
      </c>
      <c r="K34" s="35">
        <f>+'Summary Prenatal to 2'!K34+'Summary 3-4+'!K34</f>
        <v>10115.615910053999</v>
      </c>
      <c r="L34" s="35">
        <f>+'Summary Prenatal to 2'!L34+'Summary 3-4+'!L34</f>
        <v>41248.050000000003</v>
      </c>
      <c r="M34" s="35">
        <f>+'Summary Prenatal to 2'!M34+'Summary 3-4+'!M34</f>
        <v>1275.1303892371702</v>
      </c>
      <c r="N34" s="35">
        <f>+'Summary Prenatal to 2'!N34+'Summary 3-4+'!N34</f>
        <v>19513.052386857995</v>
      </c>
      <c r="O34" s="35">
        <f>+'Summary Prenatal to 2'!O34+'Summary 3-4+'!O34</f>
        <v>2891.6209580077375</v>
      </c>
      <c r="P34" s="35">
        <f>+'Summary Prenatal to 2'!P34+'Summary 3-4+'!P34</f>
        <v>70077.164932593107</v>
      </c>
      <c r="Q34" s="35">
        <f>+'Summary Prenatal to 2'!Q34+'Summary 3-4+'!Q34</f>
        <v>212447.77055930934</v>
      </c>
      <c r="R34" s="35">
        <f>+'Summary Prenatal to 2'!R34+'Summary 3-4+'!R34</f>
        <v>0</v>
      </c>
      <c r="S34" s="35">
        <f>+'Summary Prenatal to 2'!S34+'Summary 3-4+'!S34</f>
        <v>326930.61527468124</v>
      </c>
      <c r="T34" s="35">
        <f t="shared" si="0"/>
        <v>1995561.5388625988</v>
      </c>
    </row>
    <row r="35" spans="1:20" s="23" customFormat="1" x14ac:dyDescent="0.2">
      <c r="A35" s="42" t="s">
        <v>12</v>
      </c>
      <c r="B35" s="42">
        <v>0</v>
      </c>
      <c r="C35" s="35">
        <f>+'Summary Prenatal to 2'!C35+'Summary 3-4+'!C35</f>
        <v>380170</v>
      </c>
      <c r="D35" s="35">
        <f>+'Summary Prenatal to 2'!D35+'Summary 3-4+'!D35</f>
        <v>536349.97398759937</v>
      </c>
      <c r="E35" s="35">
        <f>+'Summary Prenatal to 2'!E35+'Summary 3-4+'!E35</f>
        <v>2707010.975761571</v>
      </c>
      <c r="F35" s="35">
        <f>+'Summary Prenatal to 2'!F35+'Summary 3-4+'!F35</f>
        <v>310191.6003379894</v>
      </c>
      <c r="G35" s="35">
        <f>+'Summary Prenatal to 2'!G35+'Summary 3-4+'!G35</f>
        <v>204523.11036363826</v>
      </c>
      <c r="H35" s="35">
        <f>+'Summary Prenatal to 2'!H35+'Summary 3-4+'!H35</f>
        <v>70121.622426656424</v>
      </c>
      <c r="I35" s="35">
        <f>+'Summary Prenatal to 2'!I35+'Summary 3-4+'!I35</f>
        <v>59754.468144769809</v>
      </c>
      <c r="J35" s="35">
        <f>+'Summary Prenatal to 2'!J35+'Summary 3-4+'!J35</f>
        <v>159528.94994522366</v>
      </c>
      <c r="K35" s="35">
        <f>+'Summary Prenatal to 2'!K35+'Summary 3-4+'!K35</f>
        <v>474456.84186637402</v>
      </c>
      <c r="L35" s="35">
        <f>+'Summary Prenatal to 2'!L35+'Summary 3-4+'!L35</f>
        <v>477718.08000000007</v>
      </c>
      <c r="M35" s="35">
        <f>+'Summary Prenatal to 2'!M35+'Summary 3-4+'!M35</f>
        <v>10592.449470218602</v>
      </c>
      <c r="N35" s="35">
        <f>+'Summary Prenatal to 2'!N35+'Summary 3-4+'!N35</f>
        <v>172713.32066470035</v>
      </c>
      <c r="O35" s="35">
        <f>+'Summary Prenatal to 2'!O35+'Summary 3-4+'!O35</f>
        <v>63413.147390412218</v>
      </c>
      <c r="P35" s="35">
        <f>+'Summary Prenatal to 2'!P35+'Summary 3-4+'!P35</f>
        <v>1539412.5295934612</v>
      </c>
      <c r="Q35" s="35">
        <f>+'Summary Prenatal to 2'!Q35+'Summary 3-4+'!Q35</f>
        <v>1883459.0468362444</v>
      </c>
      <c r="R35" s="35">
        <f>+'Summary Prenatal to 2'!R35+'Summary 3-4+'!R35</f>
        <v>0</v>
      </c>
      <c r="S35" s="35">
        <f>+'Summary Prenatal to 2'!S35+'Summary 3-4+'!S35</f>
        <v>2924672.3319453886</v>
      </c>
      <c r="T35" s="37">
        <f t="shared" si="0"/>
        <v>11974088.448734246</v>
      </c>
    </row>
    <row r="36" spans="1:20" x14ac:dyDescent="0.2">
      <c r="A36" s="41" t="s">
        <v>13</v>
      </c>
      <c r="B36" s="41">
        <v>0</v>
      </c>
      <c r="C36" s="35">
        <f>+'Summary Prenatal to 2'!C36+'Summary 3-4+'!C36</f>
        <v>128147</v>
      </c>
      <c r="D36" s="35">
        <f>+'Summary Prenatal to 2'!D36+'Summary 3-4+'!D36</f>
        <v>187631.69876994356</v>
      </c>
      <c r="E36" s="35">
        <f>+'Summary Prenatal to 2'!E36+'Summary 3-4+'!E36</f>
        <v>1336686.02628885</v>
      </c>
      <c r="F36" s="35">
        <f>+'Summary Prenatal to 2'!F36+'Summary 3-4+'!F36</f>
        <v>145073.80328405881</v>
      </c>
      <c r="G36" s="35">
        <f>+'Summary Prenatal to 2'!G36+'Summary 3-4+'!G36</f>
        <v>180281.67034374486</v>
      </c>
      <c r="H36" s="35">
        <f>+'Summary Prenatal to 2'!H36+'Summary 3-4+'!H36</f>
        <v>30277.333169355457</v>
      </c>
      <c r="I36" s="35">
        <f>+'Summary Prenatal to 2'!I36+'Summary 3-4+'!I36</f>
        <v>19959.297658446343</v>
      </c>
      <c r="J36" s="35">
        <f>+'Summary Prenatal to 2'!J36+'Summary 3-4+'!J36</f>
        <v>47323.813324684415</v>
      </c>
      <c r="K36" s="35">
        <f>+'Summary Prenatal to 2'!K36+'Summary 3-4+'!K36</f>
        <v>62177.607359280097</v>
      </c>
      <c r="L36" s="35">
        <f>+'Summary Prenatal to 2'!L36+'Summary 3-4+'!L36</f>
        <v>157313.09999999998</v>
      </c>
      <c r="M36" s="35">
        <f>+'Summary Prenatal to 2'!M36+'Summary 3-4+'!M36</f>
        <v>5709.3712783814553</v>
      </c>
      <c r="N36" s="35">
        <f>+'Summary Prenatal to 2'!N36+'Summary 3-4+'!N36</f>
        <v>68776.301851540848</v>
      </c>
      <c r="O36" s="35">
        <f>+'Summary Prenatal to 2'!O36+'Summary 3-4+'!O36</f>
        <v>8743.9511752239177</v>
      </c>
      <c r="P36" s="35">
        <f>+'Summary Prenatal to 2'!P36+'Summary 3-4+'!P36</f>
        <v>198273.23912449184</v>
      </c>
      <c r="Q36" s="35">
        <f>+'Summary Prenatal to 2'!Q36+'Summary 3-4+'!Q36</f>
        <v>820996.34857870487</v>
      </c>
      <c r="R36" s="35">
        <f>+'Summary Prenatal to 2'!R36+'Summary 3-4+'!R36</f>
        <v>0</v>
      </c>
      <c r="S36" s="35">
        <f>+'Summary Prenatal to 2'!S36+'Summary 3-4+'!S36</f>
        <v>1410609.2299292521</v>
      </c>
      <c r="T36" s="35">
        <f t="shared" si="0"/>
        <v>4807979.7921359586</v>
      </c>
    </row>
    <row r="37" spans="1:20" x14ac:dyDescent="0.2">
      <c r="A37" s="41" t="s">
        <v>14</v>
      </c>
      <c r="B37" s="41">
        <v>0</v>
      </c>
      <c r="C37" s="35">
        <f>+'Summary Prenatal to 2'!C37+'Summary 3-4+'!C37</f>
        <v>0</v>
      </c>
      <c r="D37" s="35">
        <f>+'Summary Prenatal to 2'!D37+'Summary 3-4+'!D37</f>
        <v>133194.36685547073</v>
      </c>
      <c r="E37" s="35">
        <f>+'Summary Prenatal to 2'!E37+'Summary 3-4+'!E37</f>
        <v>48850.874092987346</v>
      </c>
      <c r="F37" s="35">
        <f>+'Summary Prenatal to 2'!F37+'Summary 3-4+'!F37</f>
        <v>7773.8851612137041</v>
      </c>
      <c r="G37" s="35">
        <f>+'Summary Prenatal to 2'!G37+'Summary 3-4+'!G37</f>
        <v>1049.7859649645629</v>
      </c>
      <c r="H37" s="35">
        <f>+'Summary Prenatal to 2'!H37+'Summary 3-4+'!H37</f>
        <v>2428.4669796647004</v>
      </c>
      <c r="I37" s="35">
        <f>+'Summary Prenatal to 2'!I37+'Summary 3-4+'!I37</f>
        <v>1021.8692135982615</v>
      </c>
      <c r="J37" s="35">
        <f>+'Summary Prenatal to 2'!J37+'Summary 3-4+'!J37</f>
        <v>6074.2227130290794</v>
      </c>
      <c r="K37" s="35">
        <f>+'Summary Prenatal to 2'!K37+'Summary 3-4+'!K37</f>
        <v>7516.6306788781949</v>
      </c>
      <c r="L37" s="35">
        <f>+'Summary Prenatal to 2'!L37+'Summary 3-4+'!L37</f>
        <v>7661.76</v>
      </c>
      <c r="M37" s="35">
        <f>+'Summary Prenatal to 2'!M37+'Summary 3-4+'!M37</f>
        <v>317.19780225658246</v>
      </c>
      <c r="N37" s="35">
        <f>+'Summary Prenatal to 2'!N37+'Summary 3-4+'!N37</f>
        <v>7788.9161815688713</v>
      </c>
      <c r="O37" s="35">
        <f>+'Summary Prenatal to 2'!O37+'Summary 3-4+'!O37</f>
        <v>274.28638303621887</v>
      </c>
      <c r="P37" s="35">
        <f>+'Summary Prenatal to 2'!P37+'Summary 3-4+'!P37</f>
        <v>15692.054539901157</v>
      </c>
      <c r="Q37" s="35">
        <f>+'Summary Prenatal to 2'!Q37+'Summary 3-4+'!Q37</f>
        <v>45288.786346592809</v>
      </c>
      <c r="R37" s="35">
        <f>+'Summary Prenatal to 2'!R37+'Summary 3-4+'!R37</f>
        <v>0</v>
      </c>
      <c r="S37" s="35">
        <f>+'Summary Prenatal to 2'!S37+'Summary 3-4+'!S37</f>
        <v>66135.841917862359</v>
      </c>
      <c r="T37" s="35">
        <f t="shared" si="0"/>
        <v>351068.94483102456</v>
      </c>
    </row>
    <row r="38" spans="1:20" x14ac:dyDescent="0.2">
      <c r="A38" s="41" t="s">
        <v>15</v>
      </c>
      <c r="B38" s="41">
        <v>0</v>
      </c>
      <c r="C38" s="35">
        <f>+'Summary Prenatal to 2'!C38+'Summary 3-4+'!C38</f>
        <v>22688</v>
      </c>
      <c r="D38" s="35">
        <f>+'Summary Prenatal to 2'!D38+'Summary 3-4+'!D38</f>
        <v>281557.6980517839</v>
      </c>
      <c r="E38" s="35">
        <f>+'Summary Prenatal to 2'!E38+'Summary 3-4+'!E38</f>
        <v>1202358.8544990425</v>
      </c>
      <c r="F38" s="35">
        <f>+'Summary Prenatal to 2'!F38+'Summary 3-4+'!F38</f>
        <v>163531.52333388629</v>
      </c>
      <c r="G38" s="35">
        <f>+'Summary Prenatal to 2'!G38+'Summary 3-4+'!G38</f>
        <v>98564.901642865385</v>
      </c>
      <c r="H38" s="35">
        <f>+'Summary Prenatal to 2'!H38+'Summary 3-4+'!H38</f>
        <v>30253.177117894309</v>
      </c>
      <c r="I38" s="35">
        <f>+'Summary Prenatal to 2'!I38+'Summary 3-4+'!I38</f>
        <v>16131.164236731671</v>
      </c>
      <c r="J38" s="35">
        <f>+'Summary Prenatal to 2'!J38+'Summary 3-4+'!J38</f>
        <v>159371.30230218259</v>
      </c>
      <c r="K38" s="35">
        <f>+'Summary Prenatal to 2'!K38+'Summary 3-4+'!K38</f>
        <v>233998.45871529324</v>
      </c>
      <c r="L38" s="35">
        <f>+'Summary Prenatal to 2'!L38+'Summary 3-4+'!L38</f>
        <v>172767.5</v>
      </c>
      <c r="M38" s="35">
        <f>+'Summary Prenatal to 2'!M38+'Summary 3-4+'!M38</f>
        <v>8270.6518083282572</v>
      </c>
      <c r="N38" s="35">
        <f>+'Summary Prenatal to 2'!N38+'Summary 3-4+'!N38</f>
        <v>106218.8175091997</v>
      </c>
      <c r="O38" s="35">
        <f>+'Summary Prenatal to 2'!O38+'Summary 3-4+'!O38</f>
        <v>8424.1496589925409</v>
      </c>
      <c r="P38" s="35">
        <f>+'Summary Prenatal to 2'!P38+'Summary 3-4+'!P38</f>
        <v>382590.53335203195</v>
      </c>
      <c r="Q38" s="35">
        <f>+'Summary Prenatal to 2'!Q38+'Summary 3-4+'!Q38</f>
        <v>763736.89953867975</v>
      </c>
      <c r="R38" s="35">
        <f>+'Summary Prenatal to 2'!R38+'Summary 3-4+'!R38</f>
        <v>0</v>
      </c>
      <c r="S38" s="35">
        <f>+'Summary Prenatal to 2'!S38+'Summary 3-4+'!S38</f>
        <v>1371710.9352162071</v>
      </c>
      <c r="T38" s="35">
        <f t="shared" si="0"/>
        <v>5022174.5669831196</v>
      </c>
    </row>
    <row r="39" spans="1:20" x14ac:dyDescent="0.2">
      <c r="A39" s="41" t="s">
        <v>16</v>
      </c>
      <c r="B39" s="41">
        <v>0</v>
      </c>
      <c r="C39" s="35">
        <f>+'Summary Prenatal to 2'!C39+'Summary 3-4+'!C39</f>
        <v>146407</v>
      </c>
      <c r="D39" s="35">
        <f>+'Summary Prenatal to 2'!D39+'Summary 3-4+'!D39</f>
        <v>97529.639477642966</v>
      </c>
      <c r="E39" s="35">
        <f>+'Summary Prenatal to 2'!E39+'Summary 3-4+'!E39</f>
        <v>597533.99138158048</v>
      </c>
      <c r="F39" s="35">
        <f>+'Summary Prenatal to 2'!F39+'Summary 3-4+'!F39</f>
        <v>56416.039400242757</v>
      </c>
      <c r="G39" s="35">
        <f>+'Summary Prenatal to 2'!G39+'Summary 3-4+'!G39</f>
        <v>6153.1637096669874</v>
      </c>
      <c r="H39" s="35">
        <f>+'Summary Prenatal to 2'!H39+'Summary 3-4+'!H39</f>
        <v>18026.932410769361</v>
      </c>
      <c r="I39" s="35">
        <f>+'Summary Prenatal to 2'!I39+'Summary 3-4+'!I39</f>
        <v>4547.4063707389778</v>
      </c>
      <c r="J39" s="35">
        <f>+'Summary Prenatal to 2'!J39+'Summary 3-4+'!J39</f>
        <v>29134.428675252813</v>
      </c>
      <c r="K39" s="35">
        <f>+'Summary Prenatal to 2'!K39+'Summary 3-4+'!K39</f>
        <v>30259.103898916426</v>
      </c>
      <c r="L39" s="35">
        <f>+'Summary Prenatal to 2'!L39+'Summary 3-4+'!L39</f>
        <v>82181</v>
      </c>
      <c r="M39" s="35">
        <f>+'Summary Prenatal to 2'!M39+'Summary 3-4+'!M39</f>
        <v>2007.4385155143245</v>
      </c>
      <c r="N39" s="35">
        <f>+'Summary Prenatal to 2'!N39+'Summary 3-4+'!N39</f>
        <v>35771.785227281216</v>
      </c>
      <c r="O39" s="35">
        <f>+'Summary Prenatal to 2'!O39+'Summary 3-4+'!O39</f>
        <v>12564.978437000002</v>
      </c>
      <c r="P39" s="35">
        <f>+'Summary Prenatal to 2'!P39+'Summary 3-4+'!P39</f>
        <v>46950.681171221993</v>
      </c>
      <c r="Q39" s="35">
        <f>+'Summary Prenatal to 2'!Q39+'Summary 3-4+'!Q39</f>
        <v>343640.63250928238</v>
      </c>
      <c r="R39" s="35">
        <f>+'Summary Prenatal to 2'!R39+'Summary 3-4+'!R39</f>
        <v>0</v>
      </c>
      <c r="S39" s="35">
        <f>+'Summary Prenatal to 2'!S39+'Summary 3-4+'!S39</f>
        <v>551769.05619448633</v>
      </c>
      <c r="T39" s="35">
        <f t="shared" si="0"/>
        <v>2060893.2773795971</v>
      </c>
    </row>
    <row r="40" spans="1:20" x14ac:dyDescent="0.2">
      <c r="A40" s="41" t="s">
        <v>17</v>
      </c>
      <c r="B40" s="41">
        <v>0</v>
      </c>
      <c r="C40" s="35">
        <f>+'Summary Prenatal to 2'!C40+'Summary 3-4+'!C40</f>
        <v>61000</v>
      </c>
      <c r="D40" s="35">
        <f>+'Summary Prenatal to 2'!D40+'Summary 3-4+'!D40</f>
        <v>173059.28967675258</v>
      </c>
      <c r="E40" s="35">
        <f>+'Summary Prenatal to 2'!E40+'Summary 3-4+'!E40</f>
        <v>370180.99895988067</v>
      </c>
      <c r="F40" s="35">
        <f>+'Summary Prenatal to 2'!F40+'Summary 3-4+'!F40</f>
        <v>71785.271639679544</v>
      </c>
      <c r="G40" s="35">
        <f>+'Summary Prenatal to 2'!G40+'Summary 3-4+'!G40</f>
        <v>40655.690623993738</v>
      </c>
      <c r="H40" s="35">
        <f>+'Summary Prenatal to 2'!H40+'Summary 3-4+'!H40</f>
        <v>10442.017217874472</v>
      </c>
      <c r="I40" s="35">
        <f>+'Summary Prenatal to 2'!I40+'Summary 3-4+'!I40</f>
        <v>11978.060655919426</v>
      </c>
      <c r="J40" s="35">
        <f>+'Summary Prenatal to 2'!J40+'Summary 3-4+'!J40</f>
        <v>40965.135322054695</v>
      </c>
      <c r="K40" s="35">
        <f>+'Summary Prenatal to 2'!K40+'Summary 3-4+'!K40</f>
        <v>54582.189722805779</v>
      </c>
      <c r="L40" s="35">
        <f>+'Summary Prenatal to 2'!L40+'Summary 3-4+'!L40</f>
        <v>41081.279999999999</v>
      </c>
      <c r="M40" s="35">
        <f>+'Summary Prenatal to 2'!M40+'Summary 3-4+'!M40</f>
        <v>1743.4165237319605</v>
      </c>
      <c r="N40" s="35">
        <f>+'Summary Prenatal to 2'!N40+'Summary 3-4+'!N40</f>
        <v>31261.804081689563</v>
      </c>
      <c r="O40" s="35">
        <f>+'Summary Prenatal to 2'!O40+'Summary 3-4+'!O40</f>
        <v>9398.9333779999997</v>
      </c>
      <c r="P40" s="35">
        <f>+'Summary Prenatal to 2'!P40+'Summary 3-4+'!P40</f>
        <v>126643.23678564536</v>
      </c>
      <c r="Q40" s="35">
        <f>+'Summary Prenatal to 2'!Q40+'Summary 3-4+'!Q40</f>
        <v>373962.25913696119</v>
      </c>
      <c r="R40" s="35">
        <f>+'Summary Prenatal to 2'!R40+'Summary 3-4+'!R40</f>
        <v>0</v>
      </c>
      <c r="S40" s="35">
        <f>+'Summary Prenatal to 2'!S40+'Summary 3-4+'!S40</f>
        <v>419485.29658482794</v>
      </c>
      <c r="T40" s="35">
        <f t="shared" si="0"/>
        <v>1838224.8803098169</v>
      </c>
    </row>
    <row r="41" spans="1:20" x14ac:dyDescent="0.2">
      <c r="A41" s="41" t="s">
        <v>18</v>
      </c>
      <c r="B41" s="41">
        <v>0</v>
      </c>
      <c r="C41" s="35">
        <f>+'Summary Prenatal to 2'!C41+'Summary 3-4+'!C41</f>
        <v>157592</v>
      </c>
      <c r="D41" s="35">
        <f>+'Summary Prenatal to 2'!D41+'Summary 3-4+'!D41</f>
        <v>267072.48008640198</v>
      </c>
      <c r="E41" s="35">
        <f>+'Summary Prenatal to 2'!E41+'Summary 3-4+'!E41</f>
        <v>1700614.5256837155</v>
      </c>
      <c r="F41" s="35">
        <f>+'Summary Prenatal to 2'!F41+'Summary 3-4+'!F41</f>
        <v>155732.43499208894</v>
      </c>
      <c r="G41" s="35">
        <f>+'Summary Prenatal to 2'!G41+'Summary 3-4+'!G41</f>
        <v>538023.99168222595</v>
      </c>
      <c r="H41" s="35">
        <f>+'Summary Prenatal to 2'!H41+'Summary 3-4+'!H41</f>
        <v>33248.945484855736</v>
      </c>
      <c r="I41" s="35">
        <f>+'Summary Prenatal to 2'!I41+'Summary 3-4+'!I41</f>
        <v>21786.281349436696</v>
      </c>
      <c r="J41" s="35">
        <f>+'Summary Prenatal to 2'!J41+'Summary 3-4+'!J41</f>
        <v>108008.28314892096</v>
      </c>
      <c r="K41" s="35">
        <f>+'Summary Prenatal to 2'!K41+'Summary 3-4+'!K41</f>
        <v>341723.00463425019</v>
      </c>
      <c r="L41" s="35">
        <f>+'Summary Prenatal to 2'!L41+'Summary 3-4+'!L41</f>
        <v>221615.91</v>
      </c>
      <c r="M41" s="35">
        <f>+'Summary Prenatal to 2'!M41+'Summary 3-4+'!M41</f>
        <v>6184.241204994596</v>
      </c>
      <c r="N41" s="35">
        <f>+'Summary Prenatal to 2'!N41+'Summary 3-4+'!N41</f>
        <v>107049.86594915795</v>
      </c>
      <c r="O41" s="35">
        <f>+'Summary Prenatal to 2'!O41+'Summary 3-4+'!O41</f>
        <v>23884.961770399408</v>
      </c>
      <c r="P41" s="35">
        <f>+'Summary Prenatal to 2'!P41+'Summary 3-4+'!P41</f>
        <v>348855.15097542154</v>
      </c>
      <c r="Q41" s="35">
        <f>+'Summary Prenatal to 2'!Q41+'Summary 3-4+'!Q41</f>
        <v>886820.42988423898</v>
      </c>
      <c r="R41" s="35">
        <f>+'Summary Prenatal to 2'!R41+'Summary 3-4+'!R41</f>
        <v>0</v>
      </c>
      <c r="S41" s="35">
        <f>+'Summary Prenatal to 2'!S41+'Summary 3-4+'!S41</f>
        <v>1237401.5189762709</v>
      </c>
      <c r="T41" s="35">
        <f t="shared" si="0"/>
        <v>6155614.0258223806</v>
      </c>
    </row>
    <row r="42" spans="1:20" x14ac:dyDescent="0.2">
      <c r="A42" s="41" t="s">
        <v>19</v>
      </c>
      <c r="B42" s="41">
        <v>0</v>
      </c>
      <c r="C42" s="35">
        <f>+'Summary Prenatal to 2'!C42+'Summary 3-4+'!C42</f>
        <v>358</v>
      </c>
      <c r="D42" s="35">
        <f>+'Summary Prenatal to 2'!D42+'Summary 3-4+'!D42</f>
        <v>24746.187347068146</v>
      </c>
      <c r="E42" s="35">
        <f>+'Summary Prenatal to 2'!E42+'Summary 3-4+'!E42</f>
        <v>181238.52001441095</v>
      </c>
      <c r="F42" s="35">
        <f>+'Summary Prenatal to 2'!F42+'Summary 3-4+'!F42</f>
        <v>21511.651254953766</v>
      </c>
      <c r="G42" s="35">
        <f>+'Summary Prenatal to 2'!G42+'Summary 3-4+'!G42</f>
        <v>0</v>
      </c>
      <c r="H42" s="35">
        <f>+'Summary Prenatal to 2'!H42+'Summary 3-4+'!H42</f>
        <v>4192.6044720197351</v>
      </c>
      <c r="I42" s="35">
        <f>+'Summary Prenatal to 2'!I42+'Summary 3-4+'!I42</f>
        <v>1276.1613897280965</v>
      </c>
      <c r="J42" s="35">
        <f>+'Summary Prenatal to 2'!J42+'Summary 3-4+'!J42</f>
        <v>7054.221380359766</v>
      </c>
      <c r="K42" s="35">
        <f>+'Summary Prenatal to 2'!K42+'Summary 3-4+'!K42</f>
        <v>27729.368607777378</v>
      </c>
      <c r="L42" s="35">
        <f>+'Summary Prenatal to 2'!L42+'Summary 3-4+'!L42</f>
        <v>18909.5</v>
      </c>
      <c r="M42" s="35">
        <f>+'Summary Prenatal to 2'!M42+'Summary 3-4+'!M42</f>
        <v>530.23523669323856</v>
      </c>
      <c r="N42" s="35">
        <f>+'Summary Prenatal to 2'!N42+'Summary 3-4+'!N42</f>
        <v>6193.032234818038</v>
      </c>
      <c r="O42" s="35">
        <f>+'Summary Prenatal to 2'!O42+'Summary 3-4+'!O42</f>
        <v>4477.8345255624035</v>
      </c>
      <c r="P42" s="35">
        <f>+'Summary Prenatal to 2'!P42+'Summary 3-4+'!P42</f>
        <v>58475.996774781583</v>
      </c>
      <c r="Q42" s="35">
        <f>+'Summary Prenatal to 2'!Q42+'Summary 3-4+'!Q42</f>
        <v>95856.331801727938</v>
      </c>
      <c r="R42" s="35">
        <f>+'Summary Prenatal to 2'!R42+'Summary 3-4+'!R42</f>
        <v>0</v>
      </c>
      <c r="S42" s="35">
        <f>+'Summary Prenatal to 2'!S42+'Summary 3-4+'!S42</f>
        <v>113702.03718741341</v>
      </c>
      <c r="T42" s="35">
        <f t="shared" si="0"/>
        <v>566251.68222731445</v>
      </c>
    </row>
    <row r="43" spans="1:20" x14ac:dyDescent="0.2">
      <c r="A43" s="41" t="s">
        <v>20</v>
      </c>
      <c r="B43" s="41">
        <v>0</v>
      </c>
      <c r="C43" s="35">
        <f>+'Summary Prenatal to 2'!C43+'Summary 3-4+'!C43</f>
        <v>35709</v>
      </c>
      <c r="D43" s="35">
        <f>+'Summary Prenatal to 2'!D43+'Summary 3-4+'!D43</f>
        <v>102681.6804043239</v>
      </c>
      <c r="E43" s="35">
        <f>+'Summary Prenatal to 2'!E43+'Summary 3-4+'!E43</f>
        <v>460092.75277198397</v>
      </c>
      <c r="F43" s="35">
        <f>+'Summary Prenatal to 2'!F43+'Summary 3-4+'!F43</f>
        <v>45901.679737471495</v>
      </c>
      <c r="G43" s="35">
        <f>+'Summary Prenatal to 2'!G43+'Summary 3-4+'!G43</f>
        <v>19344.608766482252</v>
      </c>
      <c r="H43" s="35">
        <f>+'Summary Prenatal to 2'!H43+'Summary 3-4+'!H43</f>
        <v>15366.362632810229</v>
      </c>
      <c r="I43" s="35">
        <f>+'Summary Prenatal to 2'!I43+'Summary 3-4+'!I43</f>
        <v>7220.3840633715699</v>
      </c>
      <c r="J43" s="35">
        <f>+'Summary Prenatal to 2'!J43+'Summary 3-4+'!J43</f>
        <v>14869.796868353566</v>
      </c>
      <c r="K43" s="35">
        <f>+'Summary Prenatal to 2'!K43+'Summary 3-4+'!K43</f>
        <v>24534.469353479803</v>
      </c>
      <c r="L43" s="35">
        <f>+'Summary Prenatal to 2'!L43+'Summary 3-4+'!L43</f>
        <v>60511.16</v>
      </c>
      <c r="M43" s="35">
        <f>+'Summary Prenatal to 2'!M43+'Summary 3-4+'!M43</f>
        <v>3550.9959849340494</v>
      </c>
      <c r="N43" s="35">
        <f>+'Summary Prenatal to 2'!N43+'Summary 3-4+'!N43</f>
        <v>27118.980475701101</v>
      </c>
      <c r="O43" s="35">
        <f>+'Summary Prenatal to 2'!O43+'Summary 3-4+'!O43</f>
        <v>4563.7646482100099</v>
      </c>
      <c r="P43" s="35">
        <f>+'Summary Prenatal to 2'!P43+'Summary 3-4+'!P43</f>
        <v>61490.654257977876</v>
      </c>
      <c r="Q43" s="35">
        <f>+'Summary Prenatal to 2'!Q43+'Summary 3-4+'!Q43</f>
        <v>449475.06817024539</v>
      </c>
      <c r="R43" s="35">
        <f>+'Summary Prenatal to 2'!R43+'Summary 3-4+'!R43</f>
        <v>0</v>
      </c>
      <c r="S43" s="35">
        <f>+'Summary Prenatal to 2'!S43+'Summary 3-4+'!S43</f>
        <v>723379.45805404941</v>
      </c>
      <c r="T43" s="35">
        <f t="shared" si="0"/>
        <v>2055810.8161893948</v>
      </c>
    </row>
    <row r="44" spans="1:20" x14ac:dyDescent="0.2">
      <c r="A44" s="41" t="s">
        <v>21</v>
      </c>
      <c r="B44" s="41">
        <v>0</v>
      </c>
      <c r="C44" s="35">
        <f>+'Summary Prenatal to 2'!C44+'Summary 3-4+'!C44</f>
        <v>0</v>
      </c>
      <c r="D44" s="35">
        <f>+'Summary Prenatal to 2'!D44+'Summary 3-4+'!D44</f>
        <v>36456.400258666195</v>
      </c>
      <c r="E44" s="35">
        <f>+'Summary Prenatal to 2'!E44+'Summary 3-4+'!E44</f>
        <v>103314.57890665293</v>
      </c>
      <c r="F44" s="35">
        <f>+'Summary Prenatal to 2'!F44+'Summary 3-4+'!F44</f>
        <v>11450.770729471093</v>
      </c>
      <c r="G44" s="35">
        <f>+'Summary Prenatal to 2'!G44+'Summary 3-4+'!G44</f>
        <v>5874.1393500025588</v>
      </c>
      <c r="H44" s="35">
        <f>+'Summary Prenatal to 2'!H44+'Summary 3-4+'!H44</f>
        <v>3469.5485071386938</v>
      </c>
      <c r="I44" s="35">
        <f>+'Summary Prenatal to 2'!I44+'Summary 3-4+'!I44</f>
        <v>1482.096669817651</v>
      </c>
      <c r="J44" s="35">
        <f>+'Summary Prenatal to 2'!J44+'Summary 3-4+'!J44</f>
        <v>3541.6363436662764</v>
      </c>
      <c r="K44" s="35">
        <f>+'Summary Prenatal to 2'!K44+'Summary 3-4+'!K44</f>
        <v>8010.0115492557634</v>
      </c>
      <c r="L44" s="35">
        <f>+'Summary Prenatal to 2'!L44+'Summary 3-4+'!L44</f>
        <v>8825.2200000000012</v>
      </c>
      <c r="M44" s="35">
        <f>+'Summary Prenatal to 2'!M44+'Summary 3-4+'!M44</f>
        <v>356.18999678718302</v>
      </c>
      <c r="N44" s="35">
        <f>+'Summary Prenatal to 2'!N44+'Summary 3-4+'!N44</f>
        <v>3979.7787617121112</v>
      </c>
      <c r="O44" s="35">
        <f>+'Summary Prenatal to 2'!O44+'Summary 3-4+'!O44</f>
        <v>2011.7857665773308</v>
      </c>
      <c r="P44" s="35">
        <f>+'Summary Prenatal to 2'!P44+'Summary 3-4+'!P44</f>
        <v>8611.5003037098795</v>
      </c>
      <c r="Q44" s="35">
        <f>+'Summary Prenatal to 2'!Q44+'Summary 3-4+'!Q44</f>
        <v>68775.13157713598</v>
      </c>
      <c r="R44" s="35">
        <f>+'Summary Prenatal to 2'!R44+'Summary 3-4+'!R44</f>
        <v>0</v>
      </c>
      <c r="S44" s="35">
        <f>+'Summary Prenatal to 2'!S44+'Summary 3-4+'!S44</f>
        <v>108796.14122249075</v>
      </c>
      <c r="T44" s="35">
        <f t="shared" si="0"/>
        <v>374954.92994308431</v>
      </c>
    </row>
    <row r="45" spans="1:20" x14ac:dyDescent="0.2">
      <c r="A45" s="41" t="s">
        <v>22</v>
      </c>
      <c r="B45" s="41">
        <v>0</v>
      </c>
      <c r="C45" s="35">
        <f>+'Summary Prenatal to 2'!C45+'Summary 3-4+'!C45</f>
        <v>84255</v>
      </c>
      <c r="D45" s="35">
        <f>+'Summary Prenatal to 2'!D45+'Summary 3-4+'!D45</f>
        <v>212701.79796474206</v>
      </c>
      <c r="E45" s="35">
        <f>+'Summary Prenatal to 2'!E45+'Summary 3-4+'!E45</f>
        <v>941791.65715400502</v>
      </c>
      <c r="F45" s="35">
        <f>+'Summary Prenatal to 2'!F45+'Summary 3-4+'!F45</f>
        <v>92160.413794194348</v>
      </c>
      <c r="G45" s="35">
        <f>+'Summary Prenatal to 2'!G45+'Summary 3-4+'!G45</f>
        <v>49888.745090303906</v>
      </c>
      <c r="H45" s="35">
        <f>+'Summary Prenatal to 2'!H45+'Summary 3-4+'!H45</f>
        <v>22381.293200035339</v>
      </c>
      <c r="I45" s="35">
        <f>+'Summary Prenatal to 2'!I45+'Summary 3-4+'!I45</f>
        <v>8208.1977352852973</v>
      </c>
      <c r="J45" s="35">
        <f>+'Summary Prenatal to 2'!J45+'Summary 3-4+'!J45</f>
        <v>27563.968660169638</v>
      </c>
      <c r="K45" s="35">
        <f>+'Summary Prenatal to 2'!K45+'Summary 3-4+'!K45</f>
        <v>68463.46442876113</v>
      </c>
      <c r="L45" s="35">
        <f>+'Summary Prenatal to 2'!L45+'Summary 3-4+'!L45</f>
        <v>116216.40000000001</v>
      </c>
      <c r="M45" s="35">
        <f>+'Summary Prenatal to 2'!M45+'Summary 3-4+'!M45</f>
        <v>5450.216797189205</v>
      </c>
      <c r="N45" s="35">
        <f>+'Summary Prenatal to 2'!N45+'Summary 3-4+'!N45</f>
        <v>39898.01628898218</v>
      </c>
      <c r="O45" s="35">
        <f>+'Summary Prenatal to 2'!O45+'Summary 3-4+'!O45</f>
        <v>7973.7128312993846</v>
      </c>
      <c r="P45" s="35">
        <f>+'Summary Prenatal to 2'!P45+'Summary 3-4+'!P45</f>
        <v>135753.95421792808</v>
      </c>
      <c r="Q45" s="35">
        <f>+'Summary Prenatal to 2'!Q45+'Summary 3-4+'!Q45</f>
        <v>654435.45390005363</v>
      </c>
      <c r="R45" s="35">
        <f>+'Summary Prenatal to 2'!R45+'Summary 3-4+'!R45</f>
        <v>0</v>
      </c>
      <c r="S45" s="35">
        <f>+'Summary Prenatal to 2'!S45+'Summary 3-4+'!S45</f>
        <v>930169.4916621322</v>
      </c>
      <c r="T45" s="35">
        <f t="shared" si="0"/>
        <v>3397311.783725081</v>
      </c>
    </row>
    <row r="46" spans="1:20" x14ac:dyDescent="0.2">
      <c r="A46" s="41" t="s">
        <v>23</v>
      </c>
      <c r="B46" s="41">
        <v>0</v>
      </c>
      <c r="C46" s="35">
        <f>+'Summary Prenatal to 2'!C46+'Summary 3-4+'!C46</f>
        <v>727213</v>
      </c>
      <c r="D46" s="35">
        <f>+'Summary Prenatal to 2'!D46+'Summary 3-4+'!D46</f>
        <v>571974.01664545666</v>
      </c>
      <c r="E46" s="35">
        <f>+'Summary Prenatal to 2'!E46+'Summary 3-4+'!E46</f>
        <v>4393029.6212841142</v>
      </c>
      <c r="F46" s="35">
        <f>+'Summary Prenatal to 2'!F46+'Summary 3-4+'!F46</f>
        <v>446401.5566252257</v>
      </c>
      <c r="G46" s="35">
        <f>+'Summary Prenatal to 2'!G46+'Summary 3-4+'!G46</f>
        <v>34628.290169073174</v>
      </c>
      <c r="H46" s="35">
        <f>+'Summary Prenatal to 2'!H46+'Summary 3-4+'!H46</f>
        <v>114975.77427589518</v>
      </c>
      <c r="I46" s="35">
        <f>+'Summary Prenatal to 2'!I46+'Summary 3-4+'!I46</f>
        <v>22383.214164498335</v>
      </c>
      <c r="J46" s="35">
        <f>+'Summary Prenatal to 2'!J46+'Summary 3-4+'!J46</f>
        <v>137082.09244831419</v>
      </c>
      <c r="K46" s="35">
        <f>+'Summary Prenatal to 2'!K46+'Summary 3-4+'!K46</f>
        <v>170003.61110486815</v>
      </c>
      <c r="L46" s="35">
        <f>+'Summary Prenatal to 2'!L46+'Summary 3-4+'!L46</f>
        <v>361115.99</v>
      </c>
      <c r="M46" s="35">
        <f>+'Summary Prenatal to 2'!M46+'Summary 3-4+'!M46</f>
        <v>15876.310222295297</v>
      </c>
      <c r="N46" s="35">
        <f>+'Summary Prenatal to 2'!N46+'Summary 3-4+'!N46</f>
        <v>150262.81652329874</v>
      </c>
      <c r="O46" s="35">
        <f>+'Summary Prenatal to 2'!O46+'Summary 3-4+'!O46</f>
        <v>12321.156397061244</v>
      </c>
      <c r="P46" s="35">
        <f>+'Summary Prenatal to 2'!P46+'Summary 3-4+'!P46</f>
        <v>314430.40203196986</v>
      </c>
      <c r="Q46" s="35">
        <f>+'Summary Prenatal to 2'!Q46+'Summary 3-4+'!Q46</f>
        <v>2132349.6244226466</v>
      </c>
      <c r="R46" s="35">
        <f>+'Summary Prenatal to 2'!R46+'Summary 3-4+'!R46</f>
        <v>0</v>
      </c>
      <c r="S46" s="35">
        <f>+'Summary Prenatal to 2'!S46+'Summary 3-4+'!S46</f>
        <v>4182735.6896358524</v>
      </c>
      <c r="T46" s="35">
        <f t="shared" si="0"/>
        <v>13786783.16595057</v>
      </c>
    </row>
    <row r="47" spans="1:20" x14ac:dyDescent="0.2">
      <c r="A47" s="41" t="s">
        <v>24</v>
      </c>
      <c r="B47" s="41">
        <v>0</v>
      </c>
      <c r="C47" s="35">
        <f>+'Summary Prenatal to 2'!C47+'Summary 3-4+'!C47</f>
        <v>0</v>
      </c>
      <c r="D47" s="35">
        <f>+'Summary Prenatal to 2'!D47+'Summary 3-4+'!D47</f>
        <v>50862.276686955462</v>
      </c>
      <c r="E47" s="35">
        <f>+'Summary Prenatal to 2'!E47+'Summary 3-4+'!E47</f>
        <v>247346.51532198762</v>
      </c>
      <c r="F47" s="35">
        <f>+'Summary Prenatal to 2'!F47+'Summary 3-4+'!F47</f>
        <v>28712.789296137664</v>
      </c>
      <c r="G47" s="35">
        <f>+'Summary Prenatal to 2'!G47+'Summary 3-4+'!G47</f>
        <v>16271.624943464712</v>
      </c>
      <c r="H47" s="35">
        <f>+'Summary Prenatal to 2'!H47+'Summary 3-4+'!H47</f>
        <v>8360.3467826643191</v>
      </c>
      <c r="I47" s="35">
        <f>+'Summary Prenatal to 2'!I47+'Summary 3-4+'!I47</f>
        <v>6890.9381307158337</v>
      </c>
      <c r="J47" s="35">
        <f>+'Summary Prenatal to 2'!J47+'Summary 3-4+'!J47</f>
        <v>8919.2074680462902</v>
      </c>
      <c r="K47" s="35">
        <f>+'Summary Prenatal to 2'!K47+'Summary 3-4+'!K47</f>
        <v>24668.526872468952</v>
      </c>
      <c r="L47" s="35">
        <f>+'Summary Prenatal to 2'!L47+'Summary 3-4+'!L47</f>
        <v>31470</v>
      </c>
      <c r="M47" s="35">
        <f>+'Summary Prenatal to 2'!M47+'Summary 3-4+'!M47</f>
        <v>1311.9797270857034</v>
      </c>
      <c r="N47" s="35">
        <f>+'Summary Prenatal to 2'!N47+'Summary 3-4+'!N47</f>
        <v>16676.729095061557</v>
      </c>
      <c r="O47" s="35">
        <f>+'Summary Prenatal to 2'!O47+'Summary 3-4+'!O47</f>
        <v>4107.6039223817088</v>
      </c>
      <c r="P47" s="35">
        <f>+'Summary Prenatal to 2'!P47+'Summary 3-4+'!P47</f>
        <v>32280.944155763242</v>
      </c>
      <c r="Q47" s="35">
        <f>+'Summary Prenatal to 2'!Q47+'Summary 3-4+'!Q47</f>
        <v>159173.71860238264</v>
      </c>
      <c r="R47" s="35">
        <f>+'Summary Prenatal to 2'!R47+'Summary 3-4+'!R47</f>
        <v>0</v>
      </c>
      <c r="S47" s="35">
        <f>+'Summary Prenatal to 2'!S47+'Summary 3-4+'!S47</f>
        <v>397310.1532734902</v>
      </c>
      <c r="T47" s="35">
        <f t="shared" si="0"/>
        <v>1034363.3542786059</v>
      </c>
    </row>
    <row r="48" spans="1:20" x14ac:dyDescent="0.2">
      <c r="A48" s="41" t="s">
        <v>25</v>
      </c>
      <c r="B48" s="41">
        <v>0</v>
      </c>
      <c r="C48" s="35">
        <f>+'Summary Prenatal to 2'!C48+'Summary 3-4+'!C48</f>
        <v>20374</v>
      </c>
      <c r="D48" s="35">
        <f>+'Summary Prenatal to 2'!D48+'Summary 3-4+'!D48</f>
        <v>42146.956492244055</v>
      </c>
      <c r="E48" s="35">
        <f>+'Summary Prenatal to 2'!E48+'Summary 3-4+'!E48</f>
        <v>152677.08164540815</v>
      </c>
      <c r="F48" s="35">
        <f>+'Summary Prenatal to 2'!F48+'Summary 3-4+'!F48</f>
        <v>3376.6581632653056</v>
      </c>
      <c r="G48" s="35">
        <f>+'Summary Prenatal to 2'!G48+'Summary 3-4+'!G48</f>
        <v>18629.317051857077</v>
      </c>
      <c r="H48" s="35">
        <f>+'Summary Prenatal to 2'!H48+'Summary 3-4+'!H48</f>
        <v>2187.8211989899232</v>
      </c>
      <c r="I48" s="35">
        <f>+'Summary Prenatal to 2'!I48+'Summary 3-4+'!I48</f>
        <v>923.35105283539463</v>
      </c>
      <c r="J48" s="35">
        <f>+'Summary Prenatal to 2'!J48+'Summary 3-4+'!J48</f>
        <v>5998.9113942606346</v>
      </c>
      <c r="K48" s="35">
        <f>+'Summary Prenatal to 2'!K48+'Summary 3-4+'!K48</f>
        <v>9055.5162604577617</v>
      </c>
      <c r="L48" s="35">
        <f>+'Summary Prenatal to 2'!L48+'Summary 3-4+'!L48</f>
        <v>15103.2</v>
      </c>
      <c r="M48" s="35">
        <f>+'Summary Prenatal to 2'!M48+'Summary 3-4+'!M48</f>
        <v>290.33956895887786</v>
      </c>
      <c r="N48" s="35">
        <f>+'Summary Prenatal to 2'!N48+'Summary 3-4+'!N48</f>
        <v>5726.1809505369056</v>
      </c>
      <c r="O48" s="35">
        <f>+'Summary Prenatal to 2'!O48+'Summary 3-4+'!O48</f>
        <v>2140.780610889286</v>
      </c>
      <c r="P48" s="35">
        <f>+'Summary Prenatal to 2'!P48+'Summary 3-4+'!P48</f>
        <v>27101.418114369153</v>
      </c>
      <c r="Q48" s="35">
        <f>+'Summary Prenatal to 2'!Q48+'Summary 3-4+'!Q48</f>
        <v>51365.211762219391</v>
      </c>
      <c r="R48" s="35">
        <f>+'Summary Prenatal to 2'!R48+'Summary 3-4+'!R48</f>
        <v>0</v>
      </c>
      <c r="S48" s="35">
        <f>+'Summary Prenatal to 2'!S48+'Summary 3-4+'!S48</f>
        <v>64279.937252718169</v>
      </c>
      <c r="T48" s="35">
        <f t="shared" si="0"/>
        <v>421376.6815190101</v>
      </c>
    </row>
    <row r="49" spans="1:20" x14ac:dyDescent="0.2">
      <c r="A49" s="41" t="s">
        <v>26</v>
      </c>
      <c r="B49" s="41">
        <v>0</v>
      </c>
      <c r="C49" s="35">
        <f>+'Summary Prenatal to 2'!C49+'Summary 3-4+'!C49</f>
        <v>62780</v>
      </c>
      <c r="D49" s="35">
        <f>+'Summary Prenatal to 2'!D49+'Summary 3-4+'!D49</f>
        <v>166355.48432200484</v>
      </c>
      <c r="E49" s="35">
        <f>+'Summary Prenatal to 2'!E49+'Summary 3-4+'!E49</f>
        <v>734980.59695283964</v>
      </c>
      <c r="F49" s="35">
        <f>+'Summary Prenatal to 2'!F49+'Summary 3-4+'!F49</f>
        <v>104188.6417663742</v>
      </c>
      <c r="G49" s="35">
        <f>+'Summary Prenatal to 2'!G49+'Summary 3-4+'!G49</f>
        <v>34858.894456452756</v>
      </c>
      <c r="H49" s="35">
        <f>+'Summary Prenatal to 2'!H49+'Summary 3-4+'!H49</f>
        <v>18927.570884926623</v>
      </c>
      <c r="I49" s="35">
        <f>+'Summary Prenatal to 2'!I49+'Summary 3-4+'!I49</f>
        <v>6736.6535670156836</v>
      </c>
      <c r="J49" s="35">
        <f>+'Summary Prenatal to 2'!J49+'Summary 3-4+'!J49</f>
        <v>26587.193203573795</v>
      </c>
      <c r="K49" s="35">
        <f>+'Summary Prenatal to 2'!K49+'Summary 3-4+'!K49</f>
        <v>135696.0168392185</v>
      </c>
      <c r="L49" s="35">
        <f>+'Summary Prenatal to 2'!L49+'Summary 3-4+'!L49</f>
        <v>99088.080000000016</v>
      </c>
      <c r="M49" s="35">
        <f>+'Summary Prenatal to 2'!M49+'Summary 3-4+'!M49</f>
        <v>4399.0025352654029</v>
      </c>
      <c r="N49" s="35">
        <f>+'Summary Prenatal to 2'!N49+'Summary 3-4+'!N49</f>
        <v>44362.787444856222</v>
      </c>
      <c r="O49" s="35">
        <f>+'Summary Prenatal to 2'!O49+'Summary 3-4+'!O49</f>
        <v>12097.951018879212</v>
      </c>
      <c r="P49" s="35">
        <f>+'Summary Prenatal to 2'!P49+'Summary 3-4+'!P49</f>
        <v>106128.29056819106</v>
      </c>
      <c r="Q49" s="35">
        <f>+'Summary Prenatal to 2'!Q49+'Summary 3-4+'!Q49</f>
        <v>565396.90368764114</v>
      </c>
      <c r="R49" s="35">
        <f>+'Summary Prenatal to 2'!R49+'Summary 3-4+'!R49</f>
        <v>0</v>
      </c>
      <c r="S49" s="35">
        <f>+'Summary Prenatal to 2'!S49+'Summary 3-4+'!S49</f>
        <v>1008456.2493454095</v>
      </c>
      <c r="T49" s="35">
        <f t="shared" si="0"/>
        <v>3131040.3165926486</v>
      </c>
    </row>
    <row r="50" spans="1:20" x14ac:dyDescent="0.2">
      <c r="A50" s="41" t="s">
        <v>27</v>
      </c>
      <c r="B50" s="41">
        <v>0</v>
      </c>
      <c r="C50" s="35">
        <f>+'Summary Prenatal to 2'!C50+'Summary 3-4+'!C50</f>
        <v>57056</v>
      </c>
      <c r="D50" s="35">
        <f>+'Summary Prenatal to 2'!D50+'Summary 3-4+'!D50</f>
        <v>122491.49865002217</v>
      </c>
      <c r="E50" s="35">
        <f>+'Summary Prenatal to 2'!E50+'Summary 3-4+'!E50</f>
        <v>817831.77370300563</v>
      </c>
      <c r="F50" s="35">
        <f>+'Summary Prenatal to 2'!F50+'Summary 3-4+'!F50</f>
        <v>26693.878124707175</v>
      </c>
      <c r="G50" s="35">
        <f>+'Summary Prenatal to 2'!G50+'Summary 3-4+'!G50</f>
        <v>45233.670474279403</v>
      </c>
      <c r="H50" s="35">
        <f>+'Summary Prenatal to 2'!H50+'Summary 3-4+'!H50</f>
        <v>31498.269681063393</v>
      </c>
      <c r="I50" s="35">
        <f>+'Summary Prenatal to 2'!I50+'Summary 3-4+'!I50</f>
        <v>4896.6600789669446</v>
      </c>
      <c r="J50" s="35">
        <f>+'Summary Prenatal to 2'!J50+'Summary 3-4+'!J50</f>
        <v>62159.815678937171</v>
      </c>
      <c r="K50" s="35">
        <f>+'Summary Prenatal to 2'!K50+'Summary 3-4+'!K50</f>
        <v>77172.435495502432</v>
      </c>
      <c r="L50" s="35">
        <f>+'Summary Prenatal to 2'!L50+'Summary 3-4+'!L50</f>
        <v>142365.42000000001</v>
      </c>
      <c r="M50" s="35">
        <f>+'Summary Prenatal to 2'!M50+'Summary 3-4+'!M50</f>
        <v>3377.1639673524446</v>
      </c>
      <c r="N50" s="35">
        <f>+'Summary Prenatal to 2'!N50+'Summary 3-4+'!N50</f>
        <v>64278.954496844424</v>
      </c>
      <c r="O50" s="35">
        <f>+'Summary Prenatal to 2'!O50+'Summary 3-4+'!O50</f>
        <v>16469.5780972149</v>
      </c>
      <c r="P50" s="35">
        <f>+'Summary Prenatal to 2'!P50+'Summary 3-4+'!P50</f>
        <v>415101.21506908408</v>
      </c>
      <c r="Q50" s="35">
        <f>+'Summary Prenatal to 2'!Q50+'Summary 3-4+'!Q50</f>
        <v>575162.49904341355</v>
      </c>
      <c r="R50" s="35">
        <f>+'Summary Prenatal to 2'!R50+'Summary 3-4+'!R50</f>
        <v>0</v>
      </c>
      <c r="S50" s="35">
        <f>+'Summary Prenatal to 2'!S50+'Summary 3-4+'!S50</f>
        <v>698897.30288017797</v>
      </c>
      <c r="T50" s="35">
        <f t="shared" si="0"/>
        <v>3160686.1354405712</v>
      </c>
    </row>
    <row r="51" spans="1:20" x14ac:dyDescent="0.2">
      <c r="A51" s="41" t="s">
        <v>28</v>
      </c>
      <c r="B51" s="41">
        <v>0</v>
      </c>
      <c r="C51" s="35">
        <f>+'Summary Prenatal to 2'!C51+'Summary 3-4+'!C51</f>
        <v>91644</v>
      </c>
      <c r="D51" s="35">
        <f>+'Summary Prenatal to 2'!D51+'Summary 3-4+'!D51</f>
        <v>57984.715244770094</v>
      </c>
      <c r="E51" s="35">
        <f>+'Summary Prenatal to 2'!E51+'Summary 3-4+'!E51</f>
        <v>244257.60399991303</v>
      </c>
      <c r="F51" s="35">
        <f>+'Summary Prenatal to 2'!F51+'Summary 3-4+'!F51</f>
        <v>21743.424271749653</v>
      </c>
      <c r="G51" s="35">
        <f>+'Summary Prenatal to 2'!G51+'Summary 3-4+'!G51</f>
        <v>1523.754063974312</v>
      </c>
      <c r="H51" s="35">
        <f>+'Summary Prenatal to 2'!H51+'Summary 3-4+'!H51</f>
        <v>5812.8256008368899</v>
      </c>
      <c r="I51" s="35">
        <f>+'Summary Prenatal to 2'!I51+'Summary 3-4+'!I51</f>
        <v>4805.1996652180369</v>
      </c>
      <c r="J51" s="35">
        <f>+'Summary Prenatal to 2'!J51+'Summary 3-4+'!J51</f>
        <v>14956.978480683054</v>
      </c>
      <c r="K51" s="35">
        <f>+'Summary Prenatal to 2'!K51+'Summary 3-4+'!K51</f>
        <v>37028.06102994211</v>
      </c>
      <c r="L51" s="35">
        <f>+'Summary Prenatal to 2'!L51+'Summary 3-4+'!L51</f>
        <v>23773.120000000003</v>
      </c>
      <c r="M51" s="35">
        <f>+'Summary Prenatal to 2'!M51+'Summary 3-4+'!M51</f>
        <v>1308.0489644091299</v>
      </c>
      <c r="N51" s="35">
        <f>+'Summary Prenatal to 2'!N51+'Summary 3-4+'!N51</f>
        <v>19055.632265825785</v>
      </c>
      <c r="O51" s="35">
        <f>+'Summary Prenatal to 2'!O51+'Summary 3-4+'!O51</f>
        <v>5971.2088331043087</v>
      </c>
      <c r="P51" s="35">
        <f>+'Summary Prenatal to 2'!P51+'Summary 3-4+'!P51</f>
        <v>49564.474157663528</v>
      </c>
      <c r="Q51" s="35">
        <f>+'Summary Prenatal to 2'!Q51+'Summary 3-4+'!Q51</f>
        <v>161681.90099078207</v>
      </c>
      <c r="R51" s="35">
        <f>+'Summary Prenatal to 2'!R51+'Summary 3-4+'!R51</f>
        <v>0</v>
      </c>
      <c r="S51" s="35">
        <f>+'Summary Prenatal to 2'!S51+'Summary 3-4+'!S51</f>
        <v>204926.20472768496</v>
      </c>
      <c r="T51" s="35">
        <f t="shared" si="0"/>
        <v>946037.15229655709</v>
      </c>
    </row>
    <row r="52" spans="1:20" x14ac:dyDescent="0.2">
      <c r="A52" s="41" t="s">
        <v>29</v>
      </c>
      <c r="B52" s="41">
        <v>0</v>
      </c>
      <c r="C52" s="35">
        <f>+'Summary Prenatal to 2'!C52+'Summary 3-4+'!C52</f>
        <v>153864</v>
      </c>
      <c r="D52" s="35">
        <f>+'Summary Prenatal to 2'!D52+'Summary 3-4+'!D52</f>
        <v>104236.11329955183</v>
      </c>
      <c r="E52" s="35">
        <f>+'Summary Prenatal to 2'!E52+'Summary 3-4+'!E52</f>
        <v>436571.14995998872</v>
      </c>
      <c r="F52" s="35">
        <f>+'Summary Prenatal to 2'!F52+'Summary 3-4+'!F52</f>
        <v>50594.038244263778</v>
      </c>
      <c r="G52" s="35">
        <f>+'Summary Prenatal to 2'!G52+'Summary 3-4+'!G52</f>
        <v>5508.5999882756305</v>
      </c>
      <c r="H52" s="35">
        <f>+'Summary Prenatal to 2'!H52+'Summary 3-4+'!H52</f>
        <v>14688.176509123325</v>
      </c>
      <c r="I52" s="35">
        <f>+'Summary Prenatal to 2'!I52+'Summary 3-4+'!I52</f>
        <v>5397.3398461910947</v>
      </c>
      <c r="J52" s="35">
        <f>+'Summary Prenatal to 2'!J52+'Summary 3-4+'!J52</f>
        <v>41410.585548103802</v>
      </c>
      <c r="K52" s="35">
        <f>+'Summary Prenatal to 2'!K52+'Summary 3-4+'!K52</f>
        <v>76472.311117469682</v>
      </c>
      <c r="L52" s="35">
        <f>+'Summary Prenatal to 2'!L52+'Summary 3-4+'!L52</f>
        <v>110420.98000000001</v>
      </c>
      <c r="M52" s="35">
        <f>+'Summary Prenatal to 2'!M52+'Summary 3-4+'!M52</f>
        <v>2725.278047383571</v>
      </c>
      <c r="N52" s="35">
        <f>+'Summary Prenatal to 2'!N52+'Summary 3-4+'!N52</f>
        <v>44980.456804525347</v>
      </c>
      <c r="O52" s="35">
        <f>+'Summary Prenatal to 2'!O52+'Summary 3-4+'!O52</f>
        <v>9967.483898794475</v>
      </c>
      <c r="P52" s="35">
        <f>+'Summary Prenatal to 2'!P52+'Summary 3-4+'!P52</f>
        <v>192998.91360798839</v>
      </c>
      <c r="Q52" s="35">
        <f>+'Summary Prenatal to 2'!Q52+'Summary 3-4+'!Q52</f>
        <v>387408.02434538247</v>
      </c>
      <c r="R52" s="35">
        <f>+'Summary Prenatal to 2'!R52+'Summary 3-4+'!R52</f>
        <v>0</v>
      </c>
      <c r="S52" s="35">
        <f>+'Summary Prenatal to 2'!S52+'Summary 3-4+'!S52</f>
        <v>632999.35812782473</v>
      </c>
      <c r="T52" s="35">
        <f t="shared" si="0"/>
        <v>2270242.8093448672</v>
      </c>
    </row>
    <row r="53" spans="1:20" x14ac:dyDescent="0.2">
      <c r="A53" s="41" t="s">
        <v>30</v>
      </c>
      <c r="B53" s="41">
        <v>0</v>
      </c>
      <c r="C53" s="35">
        <f>+'Summary Prenatal to 2'!C53+'Summary 3-4+'!C53</f>
        <v>0</v>
      </c>
      <c r="D53" s="35">
        <f>+'Summary Prenatal to 2'!D53+'Summary 3-4+'!D53</f>
        <v>13346.746300881412</v>
      </c>
      <c r="E53" s="35">
        <f>+'Summary Prenatal to 2'!E53+'Summary 3-4+'!E53</f>
        <v>53036.604127436149</v>
      </c>
      <c r="F53" s="35">
        <f>+'Summary Prenatal to 2'!F53+'Summary 3-4+'!F53</f>
        <v>6051.8198807510898</v>
      </c>
      <c r="G53" s="35">
        <f>+'Summary Prenatal to 2'!G53+'Summary 3-4+'!G53</f>
        <v>425.55024064700831</v>
      </c>
      <c r="H53" s="35">
        <f>+'Summary Prenatal to 2'!H53+'Summary 3-4+'!H53</f>
        <v>2151.3338123846779</v>
      </c>
      <c r="I53" s="35">
        <f>+'Summary Prenatal to 2'!I53+'Summary 3-4+'!I53</f>
        <v>896.7504547937117</v>
      </c>
      <c r="J53" s="35">
        <f>+'Summary Prenatal to 2'!J53+'Summary 3-4+'!J53</f>
        <v>1071.7131595689721</v>
      </c>
      <c r="K53" s="35">
        <f>+'Summary Prenatal to 2'!K53+'Summary 3-4+'!K53</f>
        <v>7602.473038600634</v>
      </c>
      <c r="L53" s="35">
        <f>+'Summary Prenatal to 2'!L53+'Summary 3-4+'!L53</f>
        <v>12410.369999999999</v>
      </c>
      <c r="M53" s="35">
        <f>+'Summary Prenatal to 2'!M53+'Summary 3-4+'!M53</f>
        <v>0</v>
      </c>
      <c r="N53" s="35">
        <f>+'Summary Prenatal to 2'!N53+'Summary 3-4+'!N53</f>
        <v>4633.9452948557091</v>
      </c>
      <c r="O53" s="35">
        <f>+'Summary Prenatal to 2'!O53+'Summary 3-4+'!O53</f>
        <v>1670.7243054890987</v>
      </c>
      <c r="P53" s="35">
        <f>+'Summary Prenatal to 2'!P53+'Summary 3-4+'!P53</f>
        <v>8545.5413270207137</v>
      </c>
      <c r="Q53" s="35">
        <f>+'Summary Prenatal to 2'!Q53+'Summary 3-4+'!Q53</f>
        <v>23430.144498776361</v>
      </c>
      <c r="R53" s="35">
        <f>+'Summary Prenatal to 2'!R53+'Summary 3-4+'!R53</f>
        <v>0</v>
      </c>
      <c r="S53" s="35">
        <f>+'Summary Prenatal to 2'!S53+'Summary 3-4+'!S53</f>
        <v>62885.271363881351</v>
      </c>
      <c r="T53" s="35">
        <f t="shared" si="0"/>
        <v>198158.98780508689</v>
      </c>
    </row>
    <row r="54" spans="1:20" ht="16" thickBot="1" x14ac:dyDescent="0.25"/>
    <row r="55" spans="1:20" ht="17" thickTop="1" thickBot="1" x14ac:dyDescent="0.25">
      <c r="A55" s="38" t="s">
        <v>39</v>
      </c>
      <c r="B55" s="80">
        <f>SUM(B4:B53)</f>
        <v>0</v>
      </c>
      <c r="C55" s="81">
        <f t="shared" ref="C55:T55" si="1">SUM(C4:C53)</f>
        <v>5253037</v>
      </c>
      <c r="D55" s="81">
        <f t="shared" si="1"/>
        <v>9294911.6299196593</v>
      </c>
      <c r="E55" s="81">
        <f t="shared" si="1"/>
        <v>38254545.068955697</v>
      </c>
      <c r="F55" s="81">
        <f t="shared" si="1"/>
        <v>4391251.9832551582</v>
      </c>
      <c r="G55" s="81">
        <f t="shared" si="1"/>
        <v>2914276.9513948844</v>
      </c>
      <c r="H55" s="81">
        <f t="shared" si="1"/>
        <v>1078696.8952133409</v>
      </c>
      <c r="I55" s="81">
        <f t="shared" si="1"/>
        <v>1059643.3599747107</v>
      </c>
      <c r="J55" s="81">
        <f t="shared" si="1"/>
        <v>2384121.7501382953</v>
      </c>
      <c r="K55" s="81">
        <f t="shared" si="1"/>
        <v>4083900.9967185389</v>
      </c>
      <c r="L55" s="81">
        <f t="shared" si="1"/>
        <v>4980336.0300000012</v>
      </c>
      <c r="M55" s="81">
        <f t="shared" si="1"/>
        <v>180768.58600278635</v>
      </c>
      <c r="N55" s="81">
        <f t="shared" si="1"/>
        <v>2559584.0646109143</v>
      </c>
      <c r="O55" s="81">
        <f t="shared" si="1"/>
        <v>710717.59329842485</v>
      </c>
      <c r="P55" s="81">
        <f t="shared" si="1"/>
        <v>10367528.710563641</v>
      </c>
      <c r="Q55" s="81">
        <f t="shared" si="1"/>
        <v>25412605.962488998</v>
      </c>
      <c r="R55" s="81">
        <f t="shared" si="1"/>
        <v>0</v>
      </c>
      <c r="S55" s="81">
        <f t="shared" si="1"/>
        <v>40804315.175720081</v>
      </c>
      <c r="T55" s="82">
        <f t="shared" si="1"/>
        <v>153730241.75825509</v>
      </c>
    </row>
    <row r="56" spans="1:20" ht="16" thickTop="1" x14ac:dyDescent="0.2"/>
  </sheetData>
  <printOptions horizontalCentered="1" verticalCentered="1"/>
  <pageMargins left="0.7" right="0.7" top="0.75" bottom="0.75" header="0.3" footer="0.3"/>
  <pageSetup paperSize="5" scale="55" orientation="landscape"/>
  <headerFooter>
    <oddHeader>&amp;C&amp;"-,Bold"&amp;18Public Spending for Children and their Families - Ages 0 to 4</oddHeader>
    <oddFooter>&amp;L&amp;D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tabColor rgb="FF00B050"/>
    <pageSetUpPr fitToPage="1"/>
  </sheetPr>
  <dimension ref="A1:T56"/>
  <sheetViews>
    <sheetView topLeftCell="I37" workbookViewId="0">
      <selection activeCell="M61" sqref="M61"/>
    </sheetView>
  </sheetViews>
  <sheetFormatPr baseColWidth="10" defaultColWidth="8.83203125" defaultRowHeight="15" x14ac:dyDescent="0.2"/>
  <cols>
    <col min="1" max="1" width="14.5" customWidth="1"/>
    <col min="2" max="20" width="12.6640625" customWidth="1"/>
    <col min="21" max="21" width="5.5" customWidth="1"/>
  </cols>
  <sheetData>
    <row r="1" spans="1:20" s="119" customFormat="1" ht="120" customHeight="1" thickBot="1" x14ac:dyDescent="0.25">
      <c r="A1" s="115"/>
      <c r="B1" s="116" t="str">
        <f>+Summary!B1</f>
        <v>K-12 Educ</v>
      </c>
      <c r="C1" s="116" t="str">
        <f>+Summary!C1</f>
        <v>Preschool</v>
      </c>
      <c r="D1" s="116" t="str">
        <f>+Summary!D1</f>
        <v>Head Start &amp; Early Intervention</v>
      </c>
      <c r="E1" s="116" t="str">
        <f>+Summary!E1</f>
        <v>Medicaid (including costs of disabled children)</v>
      </c>
      <c r="F1" s="116" t="str">
        <f>+Summary!F1</f>
        <v>CHIP</v>
      </c>
      <c r="G1" s="116" t="str">
        <f>+Summary!G1</f>
        <v>Mental Health Programs</v>
      </c>
      <c r="H1" s="116" t="str">
        <f>+Summary!H1</f>
        <v>Immun-izations</v>
      </c>
      <c r="I1" s="116" t="str">
        <f>+Summary!I1</f>
        <v>Maternal &amp; Child Health Block Grant</v>
      </c>
      <c r="J1" s="116" t="str">
        <f>+Summary!J1</f>
        <v>Foster Care, Adoption Assistance, Guardianship (Title IV-E)</v>
      </c>
      <c r="K1" s="116" t="str">
        <f>+Summary!K1</f>
        <v xml:space="preserve">Child Welfare State and Local Share </v>
      </c>
      <c r="L1" s="116" t="str">
        <f>+Summary!L1</f>
        <v>Child Care &amp; Dev Fund</v>
      </c>
      <c r="M1" s="116" t="str">
        <f>+Summary!M1</f>
        <v>Child Welfare Services &amp; Promoting Safe and Stable Families           Title IV-B</v>
      </c>
      <c r="N1" s="116" t="str">
        <f>+Summary!N1</f>
        <v>Child Support Enforcement    Title IV-D</v>
      </c>
      <c r="O1" s="116" t="str">
        <f>+Summary!O1</f>
        <v>Child Welfare - TITLE XX</v>
      </c>
      <c r="P1" s="116" t="str">
        <f>+Summary!P1</f>
        <v>TANF</v>
      </c>
      <c r="Q1" s="116" t="str">
        <f>+Summary!Q1</f>
        <v>Nutrition (SNAP, WIC, CACFP)</v>
      </c>
      <c r="R1" s="116" t="str">
        <f>+Summary!R1</f>
        <v>Juvenile Justice</v>
      </c>
      <c r="S1" s="116" t="str">
        <f>+Summary!S1</f>
        <v>Tax Credits</v>
      </c>
      <c r="T1" s="116" t="str">
        <f>+Summary!T1</f>
        <v>Total</v>
      </c>
    </row>
    <row r="4" spans="1:20" x14ac:dyDescent="0.2">
      <c r="A4" s="41" t="s">
        <v>109</v>
      </c>
      <c r="B4" s="35">
        <f>+'K-12 Educ'!G4*('Pop Data'!V4/'Pop Data'!X4)</f>
        <v>3607889.8610260584</v>
      </c>
      <c r="C4" s="41">
        <v>0</v>
      </c>
      <c r="D4" s="35">
        <f>+'Head Start'!K4</f>
        <v>5711.0155934032982</v>
      </c>
      <c r="E4" s="35">
        <f>+Medicaid!J4*'Low Income Pop'!I4</f>
        <v>633333.80205988022</v>
      </c>
      <c r="F4" s="35">
        <f>+CHIP!E4*'Low Income Pop'!I4</f>
        <v>82524.391217564873</v>
      </c>
      <c r="G4" s="35">
        <f>+'Mental Health'!H4*'Pop Data'!AB4</f>
        <v>24543.628885800925</v>
      </c>
      <c r="H4" s="35">
        <f>+Immunizations!E4*'Pop Data'!AB4</f>
        <v>24840.814760746565</v>
      </c>
      <c r="I4" s="35">
        <f>+MCHBG!I4*'Pop Data'!AB4</f>
        <v>13821.595654959152</v>
      </c>
      <c r="J4" s="35">
        <f>+'Title IV-E'!V4</f>
        <v>13665.562404948034</v>
      </c>
      <c r="K4" s="35">
        <f>+'CW - State and Local Share'!D4*'Pop Data'!AB4</f>
        <v>53705.462539331878</v>
      </c>
      <c r="L4" s="35">
        <f>+'Child Care &amp; Dev Fd'!G4*'Child Care &amp; Dev Fd'!V4</f>
        <v>44594.869999999995</v>
      </c>
      <c r="M4" s="35">
        <f>+'Title IV-B'!H4</f>
        <v>3875.7963206902132</v>
      </c>
      <c r="N4" s="35">
        <f>+'Title IV-D'!E4*'Pop Data'!AB4</f>
        <v>43277.284697876035</v>
      </c>
      <c r="O4" s="35">
        <f>+'Title XX'!F4*0.001</f>
        <v>6926.5381818363267</v>
      </c>
      <c r="P4" s="35">
        <f>+TANF!E4*TANF!AA4</f>
        <v>63927.874414431397</v>
      </c>
      <c r="Q4" s="35">
        <f>+Nutrition!AJ4</f>
        <v>444630.61499110371</v>
      </c>
      <c r="R4" s="41">
        <v>0</v>
      </c>
      <c r="S4" s="35">
        <f>+(+'Tax Credits'!O4*'Low Income Pop'!I4)+('Tax Credits'!P4*'Pop Data'!AB4)</f>
        <v>952015.00200888608</v>
      </c>
      <c r="T4" s="86">
        <f t="shared" ref="T4:T35" si="0">SUM(B4:S4)</f>
        <v>6019284.1147575174</v>
      </c>
    </row>
    <row r="5" spans="1:20" x14ac:dyDescent="0.2">
      <c r="A5" s="41" t="s">
        <v>110</v>
      </c>
      <c r="B5" s="35">
        <f>+'K-12 Educ'!G5*('Pop Data'!V5/'Pop Data'!X5)</f>
        <v>1308036.9295904962</v>
      </c>
      <c r="C5" s="41">
        <v>0</v>
      </c>
      <c r="D5" s="35">
        <f>+'Head Start'!K5</f>
        <v>93.604825615050657</v>
      </c>
      <c r="E5" s="35">
        <f>+Medicaid!J5*'Low Income Pop'!I5</f>
        <v>149565.21509805444</v>
      </c>
      <c r="F5" s="35">
        <f>+CHIP!E5*'Low Income Pop'!I5</f>
        <v>10080.498054474707</v>
      </c>
      <c r="G5" s="35">
        <f>+'Mental Health'!H5*'Pop Data'!AB5</f>
        <v>40316.996440575902</v>
      </c>
      <c r="H5" s="35">
        <f>+Immunizations!E5*'Pop Data'!AB5</f>
        <v>6132.9127582308929</v>
      </c>
      <c r="I5" s="35">
        <f>+MCHBG!I5*'Pop Data'!AB5</f>
        <v>5846.5722758952425</v>
      </c>
      <c r="J5" s="35">
        <f>+'Title IV-E'!V5</f>
        <v>11674.119107429182</v>
      </c>
      <c r="K5" s="35">
        <f>+'CW - State and Local Share'!D5*'Pop Data'!AB5</f>
        <v>40148.671902725815</v>
      </c>
      <c r="L5" s="35">
        <f>+'Child Care &amp; Dev Fd'!G5*'Child Care &amp; Dev Fd'!V5</f>
        <v>11747.599999999997</v>
      </c>
      <c r="M5" s="35">
        <f>+'Title IV-B'!H5</f>
        <v>338.27627471940139</v>
      </c>
      <c r="N5" s="35">
        <f>+'Title IV-D'!E5*'Pop Data'!AB5</f>
        <v>18093.12621592731</v>
      </c>
      <c r="O5" s="35">
        <f>+'Title XX'!F5*0.001</f>
        <v>8973.955691038911</v>
      </c>
      <c r="P5" s="35">
        <f>+TANF!E5*TANF!AA5</f>
        <v>26084.667957255344</v>
      </c>
      <c r="Q5" s="35">
        <f>+Nutrition!AJ5</f>
        <v>53127.256717244076</v>
      </c>
      <c r="R5" s="41">
        <v>0</v>
      </c>
      <c r="S5" s="35">
        <f>+(+'Tax Credits'!O5*'Low Income Pop'!I5)+('Tax Credits'!P5*'Pop Data'!AB5)</f>
        <v>85420.992515561084</v>
      </c>
      <c r="T5" s="86">
        <f t="shared" si="0"/>
        <v>1775681.3954252435</v>
      </c>
    </row>
    <row r="6" spans="1:20" x14ac:dyDescent="0.2">
      <c r="A6" s="41" t="s">
        <v>111</v>
      </c>
      <c r="B6" s="35">
        <f>+'K-12 Educ'!G6*('Pop Data'!V6/'Pop Data'!X6)</f>
        <v>4743904.2269804394</v>
      </c>
      <c r="C6" s="41">
        <v>0</v>
      </c>
      <c r="D6" s="35">
        <f>+'Head Start'!K6</f>
        <v>2381.7524211318346</v>
      </c>
      <c r="E6" s="35">
        <f>+Medicaid!J6*'Low Income Pop'!I6</f>
        <v>625573.18881006597</v>
      </c>
      <c r="F6" s="35">
        <f>+CHIP!E6*'Low Income Pop'!I6</f>
        <v>10646.052257815156</v>
      </c>
      <c r="G6" s="35">
        <f>+'Mental Health'!H6*'Pop Data'!AB6</f>
        <v>170458.7217918013</v>
      </c>
      <c r="H6" s="35">
        <f>+Immunizations!E6*'Pop Data'!AB6</f>
        <v>36696.492060960802</v>
      </c>
      <c r="I6" s="35">
        <f>+MCHBG!I6*'Pop Data'!AB6</f>
        <v>5398.5555040280242</v>
      </c>
      <c r="J6" s="35">
        <f>+'Title IV-E'!V6</f>
        <v>62160.007049554144</v>
      </c>
      <c r="K6" s="35">
        <f>+'CW - State and Local Share'!D6*'Pop Data'!AB6</f>
        <v>69313.438364877657</v>
      </c>
      <c r="L6" s="35">
        <f>+'Child Care &amp; Dev Fd'!G6*'Child Care &amp; Dev Fd'!V6</f>
        <v>25512.300000000007</v>
      </c>
      <c r="M6" s="35">
        <f>+'Title IV-B'!H6</f>
        <v>5142.5699354010812</v>
      </c>
      <c r="N6" s="35">
        <f>+'Title IV-D'!E6*'Pop Data'!AB6</f>
        <v>41967.868083909249</v>
      </c>
      <c r="O6" s="35">
        <f>+'Title XX'!F6*0.001</f>
        <v>14655.425773987274</v>
      </c>
      <c r="P6" s="35">
        <f>+TANF!E6*TANF!AA6</f>
        <v>126047.23993468408</v>
      </c>
      <c r="Q6" s="35">
        <f>+Nutrition!AJ6</f>
        <v>479794.04293634731</v>
      </c>
      <c r="R6" s="41">
        <v>0</v>
      </c>
      <c r="S6" s="35">
        <f>+(+'Tax Credits'!O6*'Low Income Pop'!I6)+('Tax Credits'!P6*'Pop Data'!AB6)</f>
        <v>1004641.2112935549</v>
      </c>
      <c r="T6" s="86">
        <f t="shared" si="0"/>
        <v>7424293.0931985583</v>
      </c>
    </row>
    <row r="7" spans="1:20" x14ac:dyDescent="0.2">
      <c r="A7" s="41" t="s">
        <v>112</v>
      </c>
      <c r="B7" s="35">
        <f>+'K-12 Educ'!G7*('Pop Data'!V7/'Pop Data'!X7)</f>
        <v>2725355.4463619147</v>
      </c>
      <c r="C7" s="41">
        <v>0</v>
      </c>
      <c r="D7" s="35">
        <f>+'Head Start'!K7</f>
        <v>412.29064546068179</v>
      </c>
      <c r="E7" s="35">
        <f>+Medicaid!J7*'Low Income Pop'!I7</f>
        <v>432670.01778806408</v>
      </c>
      <c r="F7" s="35">
        <f>+CHIP!E7*'Low Income Pop'!I7</f>
        <v>44426.516779632992</v>
      </c>
      <c r="G7" s="35">
        <f>+'Mental Health'!H7*'Pop Data'!AB7</f>
        <v>6431.2231431244591</v>
      </c>
      <c r="H7" s="35">
        <f>+Immunizations!E7*'Pop Data'!AB7</f>
        <v>17592.970800131105</v>
      </c>
      <c r="I7" s="35">
        <f>+MCHBG!I7*'Pop Data'!AB7</f>
        <v>5027.8155789787597</v>
      </c>
      <c r="J7" s="35">
        <f>+'Title IV-E'!V7</f>
        <v>18862.569938383498</v>
      </c>
      <c r="K7" s="35">
        <f>+'CW - State and Local Share'!D7*'Pop Data'!AB7</f>
        <v>24214.364153775387</v>
      </c>
      <c r="L7" s="35">
        <f>+'Child Care &amp; Dev Fd'!G7*'Child Care &amp; Dev Fd'!V7</f>
        <v>28153.439999999999</v>
      </c>
      <c r="M7" s="35">
        <f>+'Title IV-B'!H7</f>
        <v>2665.1864682640271</v>
      </c>
      <c r="N7" s="35">
        <f>+'Title IV-D'!E7*'Pop Data'!AB7</f>
        <v>32926.445838332998</v>
      </c>
      <c r="O7" s="35">
        <f>+'Title XX'!F7*0.001</f>
        <v>2381.0516478827549</v>
      </c>
      <c r="P7" s="35">
        <f>+TANF!E7*TANF!AA7</f>
        <v>64923.179250061345</v>
      </c>
      <c r="Q7" s="35">
        <f>+Nutrition!AJ7</f>
        <v>215466.03656632401</v>
      </c>
      <c r="R7" s="41">
        <v>0</v>
      </c>
      <c r="S7" s="35">
        <f>+(+'Tax Credits'!O7*'Low Income Pop'!I7)+('Tax Credits'!P7*'Pop Data'!AB7)</f>
        <v>498249.80665580282</v>
      </c>
      <c r="T7" s="86">
        <f t="shared" si="0"/>
        <v>4119758.3616161342</v>
      </c>
    </row>
    <row r="8" spans="1:20" x14ac:dyDescent="0.2">
      <c r="A8" s="41" t="s">
        <v>113</v>
      </c>
      <c r="B8" s="35">
        <f>+'K-12 Educ'!G8*('Pop Data'!V8/'Pop Data'!X8)</f>
        <v>33328918.885139938</v>
      </c>
      <c r="C8" s="41">
        <v>0</v>
      </c>
      <c r="D8" s="35">
        <f>+'Head Start'!K8</f>
        <v>14676.375872656325</v>
      </c>
      <c r="E8" s="35">
        <f>+Medicaid!J8*'Low Income Pop'!I8</f>
        <v>4274390.5741728609</v>
      </c>
      <c r="F8" s="35">
        <f>+CHIP!E8*'Low Income Pop'!I8</f>
        <v>640433.1799524955</v>
      </c>
      <c r="G8" s="35">
        <f>+'Mental Health'!H8*'Pop Data'!AB8</f>
        <v>858482.28381421405</v>
      </c>
      <c r="H8" s="35">
        <f>+Immunizations!E8*'Pop Data'!AB8</f>
        <v>221357.91318489853</v>
      </c>
      <c r="I8" s="35">
        <f>+MCHBG!I8*'Pop Data'!AB8</f>
        <v>400623.03842112399</v>
      </c>
      <c r="J8" s="35">
        <f>+'Title IV-E'!V8</f>
        <v>481024.82697781071</v>
      </c>
      <c r="K8" s="35">
        <f>+'CW - State and Local Share'!D8*'Pop Data'!AB8</f>
        <v>689276.03543000447</v>
      </c>
      <c r="L8" s="35">
        <f>+'Child Care &amp; Dev Fd'!G8*'Child Care &amp; Dev Fd'!V8</f>
        <v>230792.49000000002</v>
      </c>
      <c r="M8" s="35">
        <f>+'Title IV-B'!H8</f>
        <v>21823.755873877231</v>
      </c>
      <c r="N8" s="35">
        <f>+'Title IV-D'!E8*'Pop Data'!AB8</f>
        <v>599088.46419927932</v>
      </c>
      <c r="O8" s="35">
        <f>+'Title XX'!F8*0.001</f>
        <v>94926.574222970201</v>
      </c>
      <c r="P8" s="35">
        <f>+TANF!E8*TANF!AA8</f>
        <v>2375320.3604482329</v>
      </c>
      <c r="Q8" s="35">
        <f>+Nutrition!AJ8</f>
        <v>1920356.4736075387</v>
      </c>
      <c r="R8" s="41">
        <v>0</v>
      </c>
      <c r="S8" s="35">
        <f>+(+'Tax Credits'!O8*'Low Income Pop'!I8)+('Tax Credits'!P8*'Pop Data'!AB8)</f>
        <v>5243483.9763800744</v>
      </c>
      <c r="T8" s="86">
        <f t="shared" si="0"/>
        <v>51394975.207697973</v>
      </c>
    </row>
    <row r="9" spans="1:20" x14ac:dyDescent="0.2">
      <c r="A9" s="41" t="s">
        <v>115</v>
      </c>
      <c r="B9" s="35">
        <f>+'K-12 Educ'!G9*('Pop Data'!V9/'Pop Data'!X9)</f>
        <v>4371614.810255358</v>
      </c>
      <c r="C9" s="41">
        <v>0</v>
      </c>
      <c r="D9" s="35">
        <f>+'Head Start'!K9</f>
        <v>957.65690127750179</v>
      </c>
      <c r="E9" s="35">
        <f>+Medicaid!J9*'Low Income Pop'!I9</f>
        <v>464841.17862374417</v>
      </c>
      <c r="F9" s="35">
        <f>+CHIP!E9*'Low Income Pop'!I9</f>
        <v>69114.112604366659</v>
      </c>
      <c r="G9" s="35">
        <f>+'Mental Health'!H9*'Pop Data'!AB9</f>
        <v>57194.72750410522</v>
      </c>
      <c r="H9" s="35">
        <f>+Immunizations!E9*'Pop Data'!AB9</f>
        <v>20845.14204693761</v>
      </c>
      <c r="I9" s="35">
        <f>+MCHBG!I9*'Pop Data'!AB9</f>
        <v>4788.8361427683903</v>
      </c>
      <c r="J9" s="35">
        <f>+'Title IV-E'!V9</f>
        <v>19727.793858038036</v>
      </c>
      <c r="K9" s="35">
        <f>+'CW - State and Local Share'!D9*'Pop Data'!AB9</f>
        <v>108810.43807081287</v>
      </c>
      <c r="L9" s="35">
        <f>+'Child Care &amp; Dev Fd'!G9*'Child Care &amp; Dev Fd'!V9</f>
        <v>47735.100000000006</v>
      </c>
      <c r="M9" s="35">
        <f>+'Title IV-B'!H9</f>
        <v>2371.9310529610398</v>
      </c>
      <c r="N9" s="35">
        <f>+'Title IV-D'!E9*'Pop Data'!AB9</f>
        <v>52387.21714075029</v>
      </c>
      <c r="O9" s="35">
        <f>+'Title XX'!F9*0.001</f>
        <v>4951.7851040000005</v>
      </c>
      <c r="P9" s="35">
        <f>+TANF!E9*TANF!AA9</f>
        <v>125175.75295818214</v>
      </c>
      <c r="Q9" s="35">
        <f>+Nutrition!AJ9</f>
        <v>233314.64064126578</v>
      </c>
      <c r="R9" s="41">
        <v>0</v>
      </c>
      <c r="S9" s="35">
        <f>+(+'Tax Credits'!O9*'Low Income Pop'!I9)+('Tax Credits'!P9*'Pop Data'!AB9)</f>
        <v>672585.11331881466</v>
      </c>
      <c r="T9" s="86">
        <f t="shared" si="0"/>
        <v>6256416.2362233829</v>
      </c>
    </row>
    <row r="10" spans="1:20" x14ac:dyDescent="0.2">
      <c r="A10" s="41" t="s">
        <v>114</v>
      </c>
      <c r="B10" s="35">
        <f>+'K-12 Educ'!G10*('Pop Data'!V10/'Pop Data'!X10)</f>
        <v>5092239.6066570329</v>
      </c>
      <c r="C10" s="41">
        <v>0</v>
      </c>
      <c r="D10" s="35">
        <f>+'Head Start'!K10</f>
        <v>1821.6729200957484</v>
      </c>
      <c r="E10" s="35">
        <f>+Medicaid!J10*'Low Income Pop'!I10</f>
        <v>452104.27729113755</v>
      </c>
      <c r="F10" s="35">
        <f>+CHIP!E10*'Low Income Pop'!I10</f>
        <v>8651.8586531200672</v>
      </c>
      <c r="G10" s="35">
        <f>+'Mental Health'!H10*'Pop Data'!AB10</f>
        <v>0</v>
      </c>
      <c r="H10" s="35">
        <f>+Immunizations!E10*'Pop Data'!AB10</f>
        <v>15382.828121430319</v>
      </c>
      <c r="I10" s="35">
        <f>+MCHBG!I10*'Pop Data'!AB10</f>
        <v>4389.7977006532601</v>
      </c>
      <c r="J10" s="35">
        <f>+'Title IV-E'!V10</f>
        <v>20486.934976967023</v>
      </c>
      <c r="K10" s="35">
        <f>+'CW - State and Local Share'!D10*'Pop Data'!AB10</f>
        <v>131207.49357198842</v>
      </c>
      <c r="L10" s="35">
        <f>+'Child Care &amp; Dev Fd'!G10*'Child Care &amp; Dev Fd'!V10</f>
        <v>48402.549999999988</v>
      </c>
      <c r="M10" s="35">
        <f>+'Title IV-B'!H10</f>
        <v>1294.7422998898633</v>
      </c>
      <c r="N10" s="35">
        <f>+'Title IV-D'!E10*'Pop Data'!AB10</f>
        <v>45835.181195325356</v>
      </c>
      <c r="O10" s="35">
        <f>+'Title XX'!F10*0.001</f>
        <v>10021.171827799708</v>
      </c>
      <c r="P10" s="35">
        <f>+TANF!E10*TANF!AA10</f>
        <v>161858.62746615688</v>
      </c>
      <c r="Q10" s="35">
        <f>+Nutrition!AJ10</f>
        <v>177087.62377318807</v>
      </c>
      <c r="R10" s="41">
        <v>0</v>
      </c>
      <c r="S10" s="35">
        <f>+(+'Tax Credits'!O10*'Low Income Pop'!I10)+('Tax Credits'!P10*'Pop Data'!AB10)</f>
        <v>392016.25250948849</v>
      </c>
      <c r="T10" s="86">
        <f t="shared" si="0"/>
        <v>6562800.6189642735</v>
      </c>
    </row>
    <row r="11" spans="1:20" x14ac:dyDescent="0.2">
      <c r="A11" s="41" t="s">
        <v>42</v>
      </c>
      <c r="B11" s="35">
        <f>+'K-12 Educ'!G11*('Pop Data'!V11/'Pop Data'!X11)</f>
        <v>1010552.1061112313</v>
      </c>
      <c r="C11" s="41">
        <v>0</v>
      </c>
      <c r="D11" s="35">
        <f>+'Head Start'!K11</f>
        <v>0</v>
      </c>
      <c r="E11" s="35">
        <f>+Medicaid!J11*'Low Income Pop'!I11</f>
        <v>109030.09975512547</v>
      </c>
      <c r="F11" s="35">
        <f>+CHIP!E11*'Low Income Pop'!I11</f>
        <v>6930.1046594982081</v>
      </c>
      <c r="G11" s="35">
        <f>+'Mental Health'!H11*'Pop Data'!AB11</f>
        <v>0</v>
      </c>
      <c r="H11" s="35">
        <f>+Immunizations!E11*'Pop Data'!AB11</f>
        <v>4658.1737576005862</v>
      </c>
      <c r="I11" s="35">
        <f>+MCHBG!I11*'Pop Data'!AB11</f>
        <v>3669.6107713825895</v>
      </c>
      <c r="J11" s="35">
        <f>+'Title IV-E'!V11</f>
        <v>1629.3213913679592</v>
      </c>
      <c r="K11" s="35">
        <f>+'CW - State and Local Share'!D11*'Pop Data'!AB11</f>
        <v>18702.23069495245</v>
      </c>
      <c r="L11" s="35">
        <f>+'Child Care &amp; Dev Fd'!G11*'Child Care &amp; Dev Fd'!V11</f>
        <v>9185.739999999998</v>
      </c>
      <c r="M11" s="35">
        <f>+'Title IV-B'!H11</f>
        <v>532.45687929773226</v>
      </c>
      <c r="N11" s="35">
        <f>+'Title IV-D'!E11*'Pop Data'!AB11</f>
        <v>30652.752158010244</v>
      </c>
      <c r="O11" s="35">
        <f>+'Title XX'!F11*0.001</f>
        <v>1373.6310534408601</v>
      </c>
      <c r="P11" s="35">
        <f>+TANF!E11*TANF!AA11</f>
        <v>33767.055289629396</v>
      </c>
      <c r="Q11" s="35">
        <f>+Nutrition!AJ11</f>
        <v>62938.842940999893</v>
      </c>
      <c r="R11" s="41">
        <v>0</v>
      </c>
      <c r="S11" s="35">
        <f>+(+'Tax Credits'!O11*'Low Income Pop'!I11)+('Tax Credits'!P11*'Pop Data'!AB11)</f>
        <v>119137.18682801205</v>
      </c>
      <c r="T11" s="86">
        <f t="shared" si="0"/>
        <v>1412759.312290549</v>
      </c>
    </row>
    <row r="12" spans="1:20" x14ac:dyDescent="0.2">
      <c r="A12" s="41" t="s">
        <v>116</v>
      </c>
      <c r="B12" s="35">
        <f>+'K-12 Educ'!G12*('Pop Data'!V12/'Pop Data'!X12)</f>
        <v>12536365.176528182</v>
      </c>
      <c r="C12" s="41">
        <v>0</v>
      </c>
      <c r="D12" s="35">
        <f>+'Head Start'!K12</f>
        <v>355.89506313076157</v>
      </c>
      <c r="E12" s="35">
        <f>+Medicaid!J12*'Low Income Pop'!I12</f>
        <v>1434664.123846449</v>
      </c>
      <c r="F12" s="35">
        <f>+CHIP!E12*'Low Income Pop'!I12</f>
        <v>168938.79864419787</v>
      </c>
      <c r="G12" s="35">
        <f>+'Mental Health'!H12*'Pop Data'!AB12</f>
        <v>35069.415990273948</v>
      </c>
      <c r="H12" s="35">
        <f>+Immunizations!E12*'Pop Data'!AB12</f>
        <v>84654.869595682176</v>
      </c>
      <c r="I12" s="35">
        <f>+MCHBG!I12*'Pop Data'!AB12</f>
        <v>55381.973872247196</v>
      </c>
      <c r="J12" s="35">
        <f>+'Title IV-E'!V12</f>
        <v>95446.865517299273</v>
      </c>
      <c r="K12" s="35">
        <f>+'CW - State and Local Share'!D12*'Pop Data'!AB12</f>
        <v>195128.03372958765</v>
      </c>
      <c r="L12" s="35">
        <f>+'Child Care &amp; Dev Fd'!G12*'Child Care &amp; Dev Fd'!V12</f>
        <v>181449.44999999998</v>
      </c>
      <c r="M12" s="35">
        <f>+'Title IV-B'!H12</f>
        <v>11117.425730184226</v>
      </c>
      <c r="N12" s="35">
        <f>+'Title IV-D'!E12*'Pop Data'!AB12</f>
        <v>176336.08541504267</v>
      </c>
      <c r="O12" s="35">
        <f>+'Title XX'!F12*0.001</f>
        <v>46687.617097349255</v>
      </c>
      <c r="P12" s="35">
        <f>+TANF!E12*TANF!AA12</f>
        <v>320682.66631587985</v>
      </c>
      <c r="Q12" s="35">
        <f>+Nutrition!AJ12</f>
        <v>1641352.9726895413</v>
      </c>
      <c r="R12" s="41">
        <v>0</v>
      </c>
      <c r="S12" s="35">
        <f>+(+'Tax Credits'!O12*'Low Income Pop'!I12)+('Tax Credits'!P12*'Pop Data'!AB12)</f>
        <v>2994968.1341556311</v>
      </c>
      <c r="T12" s="86">
        <f t="shared" si="0"/>
        <v>19978599.50419068</v>
      </c>
    </row>
    <row r="13" spans="1:20" x14ac:dyDescent="0.2">
      <c r="A13" s="41" t="s">
        <v>117</v>
      </c>
      <c r="B13" s="35">
        <f>+'K-12 Educ'!G13*('Pop Data'!V13/'Pop Data'!X13)</f>
        <v>9039781.0875559542</v>
      </c>
      <c r="C13" s="41">
        <v>0</v>
      </c>
      <c r="D13" s="35">
        <f>+'Head Start'!K13</f>
        <v>227.82739748313983</v>
      </c>
      <c r="E13" s="35">
        <f>+Medicaid!J13*'Low Income Pop'!I13</f>
        <v>1040169.7123661124</v>
      </c>
      <c r="F13" s="35">
        <f>+CHIP!E13*'Low Income Pop'!I13</f>
        <v>127422.06183669713</v>
      </c>
      <c r="G13" s="35">
        <f>+'Mental Health'!H13*'Pop Data'!AB13</f>
        <v>41530.946438431805</v>
      </c>
      <c r="H13" s="35">
        <f>+Immunizations!E13*'Pop Data'!AB13</f>
        <v>59535.761345956533</v>
      </c>
      <c r="I13" s="35">
        <f>+MCHBG!I13*'Pop Data'!AB13</f>
        <v>44391.729956046387</v>
      </c>
      <c r="J13" s="35">
        <f>+'Title IV-E'!V13</f>
        <v>38273.401574117765</v>
      </c>
      <c r="K13" s="35">
        <f>+'CW - State and Local Share'!D13*'Pop Data'!AB13</f>
        <v>79867.872335726119</v>
      </c>
      <c r="L13" s="35">
        <f>+'Child Care &amp; Dev Fd'!G13*'Child Care &amp; Dev Fd'!V13</f>
        <v>80320.95</v>
      </c>
      <c r="M13" s="35">
        <f>+'Title IV-B'!H13</f>
        <v>8125.7814578513644</v>
      </c>
      <c r="N13" s="35">
        <f>+'Title IV-D'!E13*'Pop Data'!AB13</f>
        <v>69023.74651874906</v>
      </c>
      <c r="O13" s="35">
        <f>+'Title XX'!F13*0.001</f>
        <v>3884.3658271260065</v>
      </c>
      <c r="P13" s="35">
        <f>+TANF!E13*TANF!AA13</f>
        <v>204962.38008478229</v>
      </c>
      <c r="Q13" s="35">
        <f>+Nutrition!AJ13</f>
        <v>914561.34960742074</v>
      </c>
      <c r="R13" s="41">
        <v>0</v>
      </c>
      <c r="S13" s="35">
        <f>+(+'Tax Credits'!O13*'Low Income Pop'!I13)+('Tax Credits'!P13*'Pop Data'!AB13)</f>
        <v>1888407.5950808693</v>
      </c>
      <c r="T13" s="86">
        <f t="shared" si="0"/>
        <v>13640486.569383323</v>
      </c>
    </row>
    <row r="14" spans="1:20" x14ac:dyDescent="0.2">
      <c r="A14" s="41" t="s">
        <v>118</v>
      </c>
      <c r="B14" s="35">
        <f>+'K-12 Educ'!G14*('Pop Data'!V14/'Pop Data'!X14)</f>
        <v>1248598.676846172</v>
      </c>
      <c r="C14" s="41">
        <v>0</v>
      </c>
      <c r="D14" s="35">
        <f>+'Head Start'!K14</f>
        <v>26.814336301728655</v>
      </c>
      <c r="E14" s="35">
        <f>+Medicaid!J14*'Low Income Pop'!I14</f>
        <v>62658.896028762872</v>
      </c>
      <c r="F14" s="35">
        <f>+CHIP!E14*'Low Income Pop'!I14</f>
        <v>8978.5095603856844</v>
      </c>
      <c r="G14" s="35">
        <f>+'Mental Health'!H14*'Pop Data'!AB14</f>
        <v>12718.356252599933</v>
      </c>
      <c r="H14" s="35">
        <f>+Immunizations!E14*'Pop Data'!AB14</f>
        <v>6801.4825877476396</v>
      </c>
      <c r="I14" s="35">
        <f>+MCHBG!I14*'Pop Data'!AB14</f>
        <v>8983.7628437647472</v>
      </c>
      <c r="J14" s="35">
        <f>+'Title IV-E'!V14</f>
        <v>0</v>
      </c>
      <c r="K14" s="35">
        <f>+'CW - State and Local Share'!D14*'Pop Data'!AB14</f>
        <v>0</v>
      </c>
      <c r="L14" s="35">
        <f>+'Child Care &amp; Dev Fd'!G14*'Child Care &amp; Dev Fd'!V14</f>
        <v>17232.379999999997</v>
      </c>
      <c r="M14" s="35">
        <f>+'Title IV-B'!H14</f>
        <v>764.1475705401208</v>
      </c>
      <c r="N14" s="35">
        <f>+'Title IV-D'!E14*'Pop Data'!AB14</f>
        <v>12604.336001003263</v>
      </c>
      <c r="O14" s="35">
        <f>+'Title XX'!F14*0.001</f>
        <v>4709.9777319862724</v>
      </c>
      <c r="P14" s="35">
        <f>+TANF!E14*TANF!AA14</f>
        <v>87179.466343516469</v>
      </c>
      <c r="Q14" s="35">
        <f>+Nutrition!AJ14</f>
        <v>98818.257803437751</v>
      </c>
      <c r="R14" s="41">
        <v>0</v>
      </c>
      <c r="S14" s="35">
        <f>+(+'Tax Credits'!O14*'Low Income Pop'!I14)+('Tax Credits'!P14*'Pop Data'!AB14)</f>
        <v>154284.28636943834</v>
      </c>
      <c r="T14" s="86">
        <f t="shared" si="0"/>
        <v>1724359.3502756569</v>
      </c>
    </row>
    <row r="15" spans="1:20" x14ac:dyDescent="0.2">
      <c r="A15" s="41" t="s">
        <v>119</v>
      </c>
      <c r="B15" s="35">
        <f>+'K-12 Educ'!G15*('Pop Data'!V15/'Pop Data'!X15)</f>
        <v>1046687.5656211935</v>
      </c>
      <c r="C15" s="41">
        <v>0</v>
      </c>
      <c r="D15" s="35">
        <f>+'Head Start'!K15</f>
        <v>495.40146435063616</v>
      </c>
      <c r="E15" s="35">
        <f>+Medicaid!J15*'Low Income Pop'!I15</f>
        <v>132355.59200110941</v>
      </c>
      <c r="F15" s="35">
        <f>+CHIP!E15*'Low Income Pop'!I15</f>
        <v>14053.570933296352</v>
      </c>
      <c r="G15" s="35">
        <f>+'Mental Health'!H15*'Pop Data'!AB15</f>
        <v>4379.3846974039989</v>
      </c>
      <c r="H15" s="35">
        <f>+Immunizations!E15*'Pop Data'!AB15</f>
        <v>9289.7788174145553</v>
      </c>
      <c r="I15" s="35">
        <f>+MCHBG!I15*'Pop Data'!AB15</f>
        <v>1866.7042333512502</v>
      </c>
      <c r="J15" s="35">
        <f>+'Title IV-E'!V15</f>
        <v>5415.3150680442686</v>
      </c>
      <c r="K15" s="35">
        <f>+'CW - State and Local Share'!D15*'Pop Data'!AB15</f>
        <v>7071.2690365032913</v>
      </c>
      <c r="L15" s="35">
        <f>+'Child Care &amp; Dev Fd'!G15*'Child Care &amp; Dev Fd'!V15</f>
        <v>9604.4799999999977</v>
      </c>
      <c r="M15" s="35">
        <f>+'Title IV-B'!H15</f>
        <v>1077.1677009136556</v>
      </c>
      <c r="N15" s="35">
        <f>+'Title IV-D'!E15*'Pop Data'!AB15</f>
        <v>15139.668643574529</v>
      </c>
      <c r="O15" s="35">
        <f>+'Title XX'!F15*0.001</f>
        <v>3397.2191288276622</v>
      </c>
      <c r="P15" s="35">
        <f>+TANF!E15*TANF!AA15</f>
        <v>14569.378056133435</v>
      </c>
      <c r="Q15" s="35">
        <f>+Nutrition!AJ15</f>
        <v>97061.982530648034</v>
      </c>
      <c r="R15" s="41">
        <v>0</v>
      </c>
      <c r="S15" s="35">
        <f>+(+'Tax Credits'!O15*'Low Income Pop'!I15)+('Tax Credits'!P15*'Pop Data'!AB15)</f>
        <v>233600.89383544002</v>
      </c>
      <c r="T15" s="86">
        <f t="shared" si="0"/>
        <v>1596065.3717682045</v>
      </c>
    </row>
    <row r="16" spans="1:20" x14ac:dyDescent="0.2">
      <c r="A16" s="41" t="s">
        <v>120</v>
      </c>
      <c r="B16" s="35">
        <f>+'K-12 Educ'!G16*('Pop Data'!V16/'Pop Data'!X16)</f>
        <v>14104624.319568332</v>
      </c>
      <c r="C16" s="41">
        <v>0</v>
      </c>
      <c r="D16" s="35">
        <f>+'Head Start'!K16</f>
        <v>2031.7295469970375</v>
      </c>
      <c r="E16" s="35">
        <f>+Medicaid!J16*'Low Income Pop'!I16</f>
        <v>1327350.245796704</v>
      </c>
      <c r="F16" s="35">
        <f>+CHIP!E16*'Low Income Pop'!I16</f>
        <v>136893.27536714767</v>
      </c>
      <c r="G16" s="35">
        <f>+'Mental Health'!H16*'Pop Data'!AB16</f>
        <v>93074.201404979351</v>
      </c>
      <c r="H16" s="35">
        <f>+Immunizations!E16*'Pop Data'!AB16</f>
        <v>61828.854958205848</v>
      </c>
      <c r="I16" s="35">
        <f>+MCHBG!I16*'Pop Data'!AB16</f>
        <v>18030.469006391835</v>
      </c>
      <c r="J16" s="35">
        <f>+'Title IV-E'!V16</f>
        <v>109968.77348058543</v>
      </c>
      <c r="K16" s="35">
        <f>+'CW - State and Local Share'!D16*'Pop Data'!AB16</f>
        <v>203576.98778746533</v>
      </c>
      <c r="L16" s="35">
        <f>+'Child Care &amp; Dev Fd'!G16*'Child Care &amp; Dev Fd'!V16</f>
        <v>171534.42</v>
      </c>
      <c r="M16" s="35">
        <f>+'Title IV-B'!H16</f>
        <v>9015.3696444177331</v>
      </c>
      <c r="N16" s="35">
        <f>+'Title IV-D'!E16*'Pop Data'!AB16</f>
        <v>130760.23332076831</v>
      </c>
      <c r="O16" s="35">
        <f>+'Title XX'!F16*0.001</f>
        <v>4866.749460289916</v>
      </c>
      <c r="P16" s="35">
        <f>+TANF!E16*TANF!AA16</f>
        <v>469863.6200388053</v>
      </c>
      <c r="Q16" s="35">
        <f>+Nutrition!AJ16</f>
        <v>890044.46465004154</v>
      </c>
      <c r="R16" s="41">
        <v>0</v>
      </c>
      <c r="S16" s="35">
        <f>+(+'Tax Credits'!O16*'Low Income Pop'!I16)+('Tax Credits'!P16*'Pop Data'!AB16)</f>
        <v>1802530.5937418826</v>
      </c>
      <c r="T16" s="86">
        <f t="shared" si="0"/>
        <v>19535994.307773016</v>
      </c>
    </row>
    <row r="17" spans="1:20" x14ac:dyDescent="0.2">
      <c r="A17" s="41" t="s">
        <v>121</v>
      </c>
      <c r="B17" s="35">
        <f>+'K-12 Educ'!G17*('Pop Data'!V17/'Pop Data'!X17)</f>
        <v>5763981.2685786858</v>
      </c>
      <c r="C17" s="41">
        <v>0</v>
      </c>
      <c r="D17" s="35">
        <f>+'Head Start'!K17</f>
        <v>9117.1309947737009</v>
      </c>
      <c r="E17" s="35">
        <f>+Medicaid!J17*'Low Income Pop'!I17</f>
        <v>639774.22383355652</v>
      </c>
      <c r="F17" s="35">
        <f>+CHIP!E17*'Low Income Pop'!I17</f>
        <v>61124.248978610907</v>
      </c>
      <c r="G17" s="35">
        <f>+'Mental Health'!H17*'Pop Data'!AB17</f>
        <v>42332.558513604337</v>
      </c>
      <c r="H17" s="35">
        <f>+Immunizations!E17*'Pop Data'!AB17</f>
        <v>29397.585264018893</v>
      </c>
      <c r="I17" s="35">
        <f>+MCHBG!I17*'Pop Data'!AB17</f>
        <v>9396.4285633282798</v>
      </c>
      <c r="J17" s="35">
        <f>+'Title IV-E'!V17</f>
        <v>53047.918888930224</v>
      </c>
      <c r="K17" s="35">
        <f>+'CW - State and Local Share'!D17*'Pop Data'!AB17</f>
        <v>161883.12745330282</v>
      </c>
      <c r="L17" s="35">
        <f>+'Child Care &amp; Dev Fd'!G17*'Child Care &amp; Dev Fd'!V17</f>
        <v>81348.539999999994</v>
      </c>
      <c r="M17" s="35">
        <f>+'Title IV-B'!H17</f>
        <v>4400.6109603473533</v>
      </c>
      <c r="N17" s="35">
        <f>+'Title IV-D'!E17*'Pop Data'!AB17</f>
        <v>66679.617917821</v>
      </c>
      <c r="O17" s="35">
        <f>+'Title XX'!F17*0.001</f>
        <v>4730.1664753508749</v>
      </c>
      <c r="P17" s="35">
        <f>+TANF!E17*TANF!AA17</f>
        <v>86853.857391068479</v>
      </c>
      <c r="Q17" s="35">
        <f>+Nutrition!AJ17</f>
        <v>406049.60596563754</v>
      </c>
      <c r="R17" s="41">
        <v>0</v>
      </c>
      <c r="S17" s="35">
        <f>+(+'Tax Credits'!O17*'Low Income Pop'!I17)+('Tax Credits'!P17*'Pop Data'!AB17)</f>
        <v>970307.987324988</v>
      </c>
      <c r="T17" s="86">
        <f t="shared" si="0"/>
        <v>8390424.8771040253</v>
      </c>
    </row>
    <row r="18" spans="1:20" x14ac:dyDescent="0.2">
      <c r="A18" s="41" t="s">
        <v>122</v>
      </c>
      <c r="B18" s="35">
        <f>+'K-12 Educ'!G18*('Pop Data'!V18/'Pop Data'!X18)</f>
        <v>3088309.5483885249</v>
      </c>
      <c r="C18" s="41">
        <v>0</v>
      </c>
      <c r="D18" s="35">
        <f>+'Head Start'!K18</f>
        <v>165.31353595041321</v>
      </c>
      <c r="E18" s="35">
        <f>+Medicaid!J18*'Low Income Pop'!I18</f>
        <v>268416.84225826804</v>
      </c>
      <c r="F18" s="35">
        <f>+CHIP!E18*'Low Income Pop'!I18</f>
        <v>41759.614650049305</v>
      </c>
      <c r="G18" s="35">
        <f>+'Mental Health'!H18*'Pop Data'!AB18</f>
        <v>61541.837470714796</v>
      </c>
      <c r="H18" s="35">
        <f>+Immunizations!E18*'Pop Data'!AB18</f>
        <v>11983.995334356452</v>
      </c>
      <c r="I18" s="35">
        <f>+MCHBG!I18*'Pop Data'!AB18</f>
        <v>3809.4771360171408</v>
      </c>
      <c r="J18" s="35">
        <f>+'Title IV-E'!V18</f>
        <v>19783.984342056814</v>
      </c>
      <c r="K18" s="35">
        <f>+'CW - State and Local Share'!D18*'Pop Data'!AB18</f>
        <v>54464.293049479013</v>
      </c>
      <c r="L18" s="35">
        <f>+'Child Care &amp; Dev Fd'!G18*'Child Care &amp; Dev Fd'!V18</f>
        <v>38454.619999999995</v>
      </c>
      <c r="M18" s="35">
        <f>+'Title IV-B'!H18</f>
        <v>2029.0569651306632</v>
      </c>
      <c r="N18" s="35">
        <f>+'Title IV-D'!E18*'Pop Data'!AB18</f>
        <v>36893.826272247294</v>
      </c>
      <c r="O18" s="35">
        <f>+'Title XX'!F18*0.001</f>
        <v>9425.9129730515087</v>
      </c>
      <c r="P18" s="35">
        <f>+TANF!E18*TANF!AA18</f>
        <v>70727.41143690802</v>
      </c>
      <c r="Q18" s="35">
        <f>+Nutrition!AJ18</f>
        <v>174319.82907783103</v>
      </c>
      <c r="R18" s="41">
        <v>0</v>
      </c>
      <c r="S18" s="35">
        <f>+(+'Tax Credits'!O18*'Low Income Pop'!I18)+('Tax Credits'!P18*'Pop Data'!AB18)</f>
        <v>393708.61242622568</v>
      </c>
      <c r="T18" s="86">
        <f t="shared" si="0"/>
        <v>4275794.1753168115</v>
      </c>
    </row>
    <row r="19" spans="1:20" x14ac:dyDescent="0.2">
      <c r="A19" s="41" t="s">
        <v>123</v>
      </c>
      <c r="B19" s="35">
        <f>+'K-12 Educ'!G19*('Pop Data'!V19/'Pop Data'!X19)</f>
        <v>2975778.8039837289</v>
      </c>
      <c r="C19" s="41">
        <v>0</v>
      </c>
      <c r="D19" s="35">
        <f>+'Head Start'!K19</f>
        <v>930.7700491935484</v>
      </c>
      <c r="E19" s="35">
        <f>+Medicaid!J19*'Low Income Pop'!I19</f>
        <v>237525.95219768013</v>
      </c>
      <c r="F19" s="35">
        <f>+CHIP!E19*'Low Income Pop'!I19</f>
        <v>25596.099432617808</v>
      </c>
      <c r="G19" s="35">
        <f>+'Mental Health'!H19*'Pop Data'!AB19</f>
        <v>60432.523324962087</v>
      </c>
      <c r="H19" s="35">
        <f>+Immunizations!E19*'Pop Data'!AB19</f>
        <v>11557.673350706333</v>
      </c>
      <c r="I19" s="35">
        <f>+MCHBG!I19*'Pop Data'!AB19</f>
        <v>2967.9582293760632</v>
      </c>
      <c r="J19" s="35">
        <f>+'Title IV-E'!V19</f>
        <v>13737.350153018622</v>
      </c>
      <c r="K19" s="35">
        <f>+'CW - State and Local Share'!D19*'Pop Data'!AB19</f>
        <v>59114.992436877335</v>
      </c>
      <c r="L19" s="35">
        <f>+'Child Care &amp; Dev Fd'!G19*'Child Care &amp; Dev Fd'!V19</f>
        <v>39626.239999999998</v>
      </c>
      <c r="M19" s="35">
        <f>+'Title IV-B'!H19</f>
        <v>1681.4114477519008</v>
      </c>
      <c r="N19" s="35">
        <f>+'Title IV-D'!E19*'Pop Data'!AB19</f>
        <v>36686.806995405248</v>
      </c>
      <c r="O19" s="35">
        <f>+'Title XX'!F19*0.001</f>
        <v>6995.4410769999995</v>
      </c>
      <c r="P19" s="35">
        <f>+TANF!E19*TANF!AA19</f>
        <v>59798.082302153525</v>
      </c>
      <c r="Q19" s="35">
        <f>+Nutrition!AJ19</f>
        <v>131651.98965554536</v>
      </c>
      <c r="R19" s="41">
        <v>0</v>
      </c>
      <c r="S19" s="35">
        <f>+(+'Tax Credits'!O19*'Low Income Pop'!I19)+('Tax Credits'!P19*'Pop Data'!AB19)</f>
        <v>421788.60357138014</v>
      </c>
      <c r="T19" s="86">
        <f t="shared" si="0"/>
        <v>4085870.6982073975</v>
      </c>
    </row>
    <row r="20" spans="1:20" x14ac:dyDescent="0.2">
      <c r="A20" s="41" t="s">
        <v>124</v>
      </c>
      <c r="B20" s="35">
        <f>+'K-12 Educ'!G20*('Pop Data'!V20/'Pop Data'!X20)</f>
        <v>3726477.8920883769</v>
      </c>
      <c r="C20" s="41">
        <v>0</v>
      </c>
      <c r="D20" s="35">
        <f>+'Head Start'!K20</f>
        <v>206.78629677544868</v>
      </c>
      <c r="E20" s="35">
        <f>+Medicaid!J20*'Low Income Pop'!I20</f>
        <v>515317.69634416018</v>
      </c>
      <c r="F20" s="35">
        <f>+CHIP!E20*'Low Income Pop'!I20</f>
        <v>57320.474264552591</v>
      </c>
      <c r="G20" s="35">
        <f>+'Mental Health'!H20*'Pop Data'!AB20</f>
        <v>22158.923285344874</v>
      </c>
      <c r="H20" s="35">
        <f>+Immunizations!E20*'Pop Data'!AB20</f>
        <v>19702.866071311422</v>
      </c>
      <c r="I20" s="35">
        <f>+MCHBG!I20*'Pop Data'!AB20</f>
        <v>16430.179620560222</v>
      </c>
      <c r="J20" s="35">
        <f>+'Title IV-E'!V20</f>
        <v>29161.425200953021</v>
      </c>
      <c r="K20" s="35">
        <f>+'CW - State and Local Share'!D20*'Pop Data'!AB20</f>
        <v>123173.58700028872</v>
      </c>
      <c r="L20" s="35">
        <f>+'Child Care &amp; Dev Fd'!G20*'Child Care &amp; Dev Fd'!V20</f>
        <v>60721.079999999987</v>
      </c>
      <c r="M20" s="35">
        <f>+'Title IV-B'!H20</f>
        <v>3771.2932593167134</v>
      </c>
      <c r="N20" s="35">
        <f>+'Title IV-D'!E20*'Pop Data'!AB20</f>
        <v>44792.309852902756</v>
      </c>
      <c r="O20" s="35">
        <f>+'Title XX'!F20*0.001</f>
        <v>8937.8499207122823</v>
      </c>
      <c r="P20" s="35">
        <f>+TANF!E20*TANF!AA20</f>
        <v>101771.38328260003</v>
      </c>
      <c r="Q20" s="35">
        <f>+Nutrition!AJ20</f>
        <v>345400.04779069632</v>
      </c>
      <c r="R20" s="41">
        <v>0</v>
      </c>
      <c r="S20" s="35">
        <f>+(+'Tax Credits'!O20*'Low Income Pop'!I20)+('Tax Credits'!P20*'Pop Data'!AB20)</f>
        <v>620044.47802169365</v>
      </c>
      <c r="T20" s="86">
        <f t="shared" si="0"/>
        <v>5695388.2723002462</v>
      </c>
    </row>
    <row r="21" spans="1:20" x14ac:dyDescent="0.2">
      <c r="A21" s="41" t="s">
        <v>125</v>
      </c>
      <c r="B21" s="35">
        <f>+'K-12 Educ'!G21*('Pop Data'!V21/'Pop Data'!X21)</f>
        <v>4336706.5881097391</v>
      </c>
      <c r="C21" s="41">
        <v>0</v>
      </c>
      <c r="D21" s="35">
        <f>+'Head Start'!K21</f>
        <v>648.11225917383103</v>
      </c>
      <c r="E21" s="35">
        <f>+Medicaid!J21*'Low Income Pop'!I21</f>
        <v>718404.51613859565</v>
      </c>
      <c r="F21" s="35">
        <f>+CHIP!E21*'Low Income Pop'!I21</f>
        <v>80292.769945783453</v>
      </c>
      <c r="G21" s="35">
        <f>+'Mental Health'!H21*'Pop Data'!AB21</f>
        <v>17732.824025219092</v>
      </c>
      <c r="H21" s="35">
        <f>+Immunizations!E21*'Pop Data'!AB21</f>
        <v>28868.298998703711</v>
      </c>
      <c r="I21" s="35">
        <f>+MCHBG!I21*'Pop Data'!AB21</f>
        <v>7527.841338740368</v>
      </c>
      <c r="J21" s="35">
        <f>+'Title IV-E'!V21</f>
        <v>22182.947109585501</v>
      </c>
      <c r="K21" s="35">
        <f>+'CW - State and Local Share'!D21*'Pop Data'!AB21</f>
        <v>14678.000305957312</v>
      </c>
      <c r="L21" s="35">
        <f>+'Child Care &amp; Dev Fd'!G21*'Child Care &amp; Dev Fd'!V21</f>
        <v>28066.500000000007</v>
      </c>
      <c r="M21" s="35">
        <f>+'Title IV-B'!H21</f>
        <v>4127.3261393963548</v>
      </c>
      <c r="N21" s="35">
        <f>+'Title IV-D'!E21*'Pop Data'!AB21</f>
        <v>51765.042920800894</v>
      </c>
      <c r="O21" s="35">
        <f>+'Title XX'!F21*0.001</f>
        <v>18297.987809726605</v>
      </c>
      <c r="P21" s="35">
        <f>+TANF!E21*TANF!AA21</f>
        <v>99157.856653029012</v>
      </c>
      <c r="Q21" s="35">
        <f>+Nutrition!AJ21</f>
        <v>447964.48214643705</v>
      </c>
      <c r="R21" s="41">
        <v>0</v>
      </c>
      <c r="S21" s="35">
        <f>+(+'Tax Credits'!O21*'Low Income Pop'!I21)+('Tax Credits'!P21*'Pop Data'!AB21)</f>
        <v>880166.9373971225</v>
      </c>
      <c r="T21" s="86">
        <f t="shared" si="0"/>
        <v>6756588.0312980106</v>
      </c>
    </row>
    <row r="22" spans="1:20" x14ac:dyDescent="0.2">
      <c r="A22" s="41" t="s">
        <v>0</v>
      </c>
      <c r="B22" s="35">
        <f>+'K-12 Educ'!G22*('Pop Data'!V22/'Pop Data'!X22)</f>
        <v>1247784.229992734</v>
      </c>
      <c r="C22" s="41">
        <v>0</v>
      </c>
      <c r="D22" s="35">
        <f>+'Head Start'!K22</f>
        <v>73.851028103044484</v>
      </c>
      <c r="E22" s="35">
        <f>+Medicaid!J22*'Low Income Pop'!I22</f>
        <v>189090.73727920096</v>
      </c>
      <c r="F22" s="35">
        <f>+CHIP!E22*'Low Income Pop'!I22</f>
        <v>15457.94506612411</v>
      </c>
      <c r="G22" s="35">
        <f>+'Mental Health'!H22*'Pop Data'!AB22</f>
        <v>76504.756887436146</v>
      </c>
      <c r="H22" s="35">
        <f>+Immunizations!E22*'Pop Data'!AB22</f>
        <v>5586.0102521604404</v>
      </c>
      <c r="I22" s="35">
        <f>+MCHBG!I22*'Pop Data'!AB22</f>
        <v>4093.3199105288099</v>
      </c>
      <c r="J22" s="35">
        <f>+'Title IV-E'!V22</f>
        <v>9641.171659571748</v>
      </c>
      <c r="K22" s="35">
        <f>+'CW - State and Local Share'!D22*'Pop Data'!AB22</f>
        <v>29904.960002707605</v>
      </c>
      <c r="L22" s="35">
        <f>+'Child Care &amp; Dev Fd'!G22*'Child Care &amp; Dev Fd'!V22</f>
        <v>8461.99</v>
      </c>
      <c r="M22" s="35">
        <f>+'Title IV-B'!H22</f>
        <v>835.83435942848632</v>
      </c>
      <c r="N22" s="35">
        <f>+'Title IV-D'!E22*'Pop Data'!AB22</f>
        <v>17945.843244910087</v>
      </c>
      <c r="O22" s="35">
        <f>+'Title XX'!F22*0.001</f>
        <v>531.82499826484514</v>
      </c>
      <c r="P22" s="35">
        <f>+TANF!E22*TANF!AA22</f>
        <v>44612.436435586264</v>
      </c>
      <c r="Q22" s="35">
        <f>+Nutrition!AJ22</f>
        <v>126640.92576870082</v>
      </c>
      <c r="R22" s="41">
        <v>0</v>
      </c>
      <c r="S22" s="35">
        <f>+(+'Tax Credits'!O22*'Low Income Pop'!I22)+('Tax Credits'!P22*'Pop Data'!AB22)</f>
        <v>156753.06146140149</v>
      </c>
      <c r="T22" s="86">
        <f t="shared" si="0"/>
        <v>1933918.898346859</v>
      </c>
    </row>
    <row r="23" spans="1:20" x14ac:dyDescent="0.2">
      <c r="A23" s="41" t="s">
        <v>1</v>
      </c>
      <c r="B23" s="35">
        <f>+'K-12 Educ'!G23*('Pop Data'!V23/'Pop Data'!X23)</f>
        <v>6793350.8837538613</v>
      </c>
      <c r="C23" s="41">
        <v>0</v>
      </c>
      <c r="D23" s="35">
        <f>+'Head Start'!K23</f>
        <v>1028.7372386110471</v>
      </c>
      <c r="E23" s="35">
        <f>+Medicaid!J23*'Low Income Pop'!I23</f>
        <v>582849.02359651227</v>
      </c>
      <c r="F23" s="35">
        <f>+CHIP!E23*'Low Income Pop'!I23</f>
        <v>73927.785122702728</v>
      </c>
      <c r="G23" s="35">
        <f>+'Mental Health'!H23*'Pop Data'!AB23</f>
        <v>131343.73692315791</v>
      </c>
      <c r="H23" s="35">
        <f>+Immunizations!E23*'Pop Data'!AB23</f>
        <v>26810.836927813667</v>
      </c>
      <c r="I23" s="35">
        <f>+MCHBG!I23*'Pop Data'!AB23</f>
        <v>6474.5071400386969</v>
      </c>
      <c r="J23" s="35">
        <f>+'Title IV-E'!V23</f>
        <v>25551.5100061021</v>
      </c>
      <c r="K23" s="35">
        <f>+'CW - State and Local Share'!D23*'Pop Data'!AB23</f>
        <v>132884.20890311059</v>
      </c>
      <c r="L23" s="35">
        <f>+'Child Care &amp; Dev Fd'!G23*'Child Care &amp; Dev Fd'!V23</f>
        <v>59161.95</v>
      </c>
      <c r="M23" s="35">
        <f>+'Title IV-B'!H23</f>
        <v>2689.2417155161033</v>
      </c>
      <c r="N23" s="35">
        <f>+'Title IV-D'!E23*'Pop Data'!AB23</f>
        <v>84770.641596963833</v>
      </c>
      <c r="O23" s="35">
        <f>+'Title XX'!F23*0.001</f>
        <v>9378.3801147623381</v>
      </c>
      <c r="P23" s="35">
        <f>+TANF!E23*TANF!AA23</f>
        <v>210208.2938062186</v>
      </c>
      <c r="Q23" s="35">
        <f>+Nutrition!AJ23</f>
        <v>305250.62644791749</v>
      </c>
      <c r="R23" s="41">
        <v>0</v>
      </c>
      <c r="S23" s="35">
        <f>+(+'Tax Credits'!O23*'Low Income Pop'!I23)+('Tax Credits'!P23*'Pop Data'!AB23)</f>
        <v>715031.86925758584</v>
      </c>
      <c r="T23" s="86">
        <f t="shared" si="0"/>
        <v>9160712.2325508744</v>
      </c>
    </row>
    <row r="24" spans="1:20" x14ac:dyDescent="0.2">
      <c r="A24" s="41" t="s">
        <v>2</v>
      </c>
      <c r="B24" s="35">
        <f>+'K-12 Educ'!G24*('Pop Data'!V24/'Pop Data'!X24)</f>
        <v>7859568.7518980131</v>
      </c>
      <c r="C24" s="41">
        <v>0</v>
      </c>
      <c r="D24" s="35">
        <f>+'Head Start'!K24</f>
        <v>4625.8516363524559</v>
      </c>
      <c r="E24" s="35">
        <f>+Medicaid!J24*'Low Income Pop'!I24</f>
        <v>675468.50000994338</v>
      </c>
      <c r="F24" s="35">
        <f>+CHIP!E24*'Low Income Pop'!I24</f>
        <v>157260.01894881009</v>
      </c>
      <c r="G24" s="35">
        <f>+'Mental Health'!H24*'Pop Data'!AB24</f>
        <v>35288.184543138042</v>
      </c>
      <c r="H24" s="35">
        <f>+Immunizations!E24*'Pop Data'!AB24</f>
        <v>28544.763121826152</v>
      </c>
      <c r="I24" s="35">
        <f>+MCHBG!I24*'Pop Data'!AB24</f>
        <v>20873.324812490231</v>
      </c>
      <c r="J24" s="35">
        <f>+'Title IV-E'!V24</f>
        <v>28294.864346357073</v>
      </c>
      <c r="K24" s="35">
        <f>+'CW - State and Local Share'!D24*'Pop Data'!AB24</f>
        <v>204109.03381796254</v>
      </c>
      <c r="L24" s="35">
        <f>+'Child Care &amp; Dev Fd'!G24*'Child Care &amp; Dev Fd'!V24</f>
        <v>119973.92</v>
      </c>
      <c r="M24" s="35">
        <f>+'Title IV-B'!H24</f>
        <v>3069.1678478783519</v>
      </c>
      <c r="N24" s="35">
        <f>+'Title IV-D'!E24*'Pop Data'!AB24</f>
        <v>68376.992073011919</v>
      </c>
      <c r="O24" s="35">
        <f>+'Title XX'!F24*0.001</f>
        <v>18916.770219888866</v>
      </c>
      <c r="P24" s="35">
        <f>+TANF!E24*TANF!AA24</f>
        <v>372745.45365333854</v>
      </c>
      <c r="Q24" s="35">
        <f>+Nutrition!AJ24</f>
        <v>361525.61839495745</v>
      </c>
      <c r="R24" s="41">
        <v>0</v>
      </c>
      <c r="S24" s="35">
        <f>+(+'Tax Credits'!O24*'Low Income Pop'!I24)+('Tax Credits'!P24*'Pop Data'!AB24)</f>
        <v>646694.91385338851</v>
      </c>
      <c r="T24" s="86">
        <f t="shared" si="0"/>
        <v>10605336.129177358</v>
      </c>
    </row>
    <row r="25" spans="1:20" x14ac:dyDescent="0.2">
      <c r="A25" s="41" t="s">
        <v>3</v>
      </c>
      <c r="B25" s="35">
        <f>+'K-12 Educ'!G25*('Pop Data'!V25/'Pop Data'!X25)</f>
        <v>9082062.2168950811</v>
      </c>
      <c r="C25" s="41">
        <v>0</v>
      </c>
      <c r="D25" s="35">
        <f>+'Head Start'!K25</f>
        <v>5132.3054711576406</v>
      </c>
      <c r="E25" s="35">
        <f>+Medicaid!J25*'Low Income Pop'!I25</f>
        <v>978946.11078258173</v>
      </c>
      <c r="F25" s="35">
        <f>+CHIP!E25*'Low Income Pop'!I25</f>
        <v>21940.077198896335</v>
      </c>
      <c r="G25" s="35">
        <f>+'Mental Health'!H25*'Pop Data'!AB25</f>
        <v>78399.149367572187</v>
      </c>
      <c r="H25" s="35">
        <f>+Immunizations!E25*'Pop Data'!AB25</f>
        <v>42112.475640137287</v>
      </c>
      <c r="I25" s="35">
        <f>+MCHBG!I25*'Pop Data'!AB25</f>
        <v>20189.428189044807</v>
      </c>
      <c r="J25" s="35">
        <f>+'Title IV-E'!V25</f>
        <v>79042.448939603943</v>
      </c>
      <c r="K25" s="35">
        <f>+'CW - State and Local Share'!D25*'Pop Data'!AB25</f>
        <v>144593.33626895235</v>
      </c>
      <c r="L25" s="35">
        <f>+'Child Care &amp; Dev Fd'!G25*'Child Care &amp; Dev Fd'!V25</f>
        <v>100896.88</v>
      </c>
      <c r="M25" s="35">
        <f>+'Title IV-B'!H25</f>
        <v>6719.1347996564655</v>
      </c>
      <c r="N25" s="35">
        <f>+'Title IV-D'!E25*'Pop Data'!AB25</f>
        <v>149841.78103905387</v>
      </c>
      <c r="O25" s="35">
        <f>+'Title XX'!F25*0.001</f>
        <v>35288.312280451006</v>
      </c>
      <c r="P25" s="35">
        <f>+TANF!E25*TANF!AA25</f>
        <v>526251.4532145072</v>
      </c>
      <c r="Q25" s="35">
        <f>+Nutrition!AJ25</f>
        <v>782969.42148813838</v>
      </c>
      <c r="R25" s="41">
        <v>0</v>
      </c>
      <c r="S25" s="35">
        <f>+(+'Tax Credits'!O25*'Low Income Pop'!I25)+('Tax Credits'!P25*'Pop Data'!AB25)</f>
        <v>1406076.0643888584</v>
      </c>
      <c r="T25" s="86">
        <f t="shared" si="0"/>
        <v>13460460.595963696</v>
      </c>
    </row>
    <row r="26" spans="1:20" x14ac:dyDescent="0.2">
      <c r="A26" s="41" t="s">
        <v>4</v>
      </c>
      <c r="B26" s="35">
        <f>+'K-12 Educ'!G26*('Pop Data'!V26/'Pop Data'!X26)</f>
        <v>5418505.6585878795</v>
      </c>
      <c r="C26" s="41">
        <v>0</v>
      </c>
      <c r="D26" s="35">
        <f>+'Head Start'!K26</f>
        <v>1611.1073310096431</v>
      </c>
      <c r="E26" s="35">
        <f>+Medicaid!J26*'Low Income Pop'!I26</f>
        <v>667997.96536800114</v>
      </c>
      <c r="F26" s="35">
        <f>+CHIP!E26*'Low Income Pop'!I26</f>
        <v>6370.1093255987334</v>
      </c>
      <c r="G26" s="35">
        <f>+'Mental Health'!H26*'Pop Data'!AB26</f>
        <v>107338.93071420636</v>
      </c>
      <c r="H26" s="35">
        <f>+Immunizations!E26*'Pop Data'!AB26</f>
        <v>18418.292496097631</v>
      </c>
      <c r="I26" s="35">
        <f>+MCHBG!I26*'Pop Data'!AB26</f>
        <v>5785.4802320929857</v>
      </c>
      <c r="J26" s="35">
        <f>+'Title IV-E'!V26</f>
        <v>19909.964076687029</v>
      </c>
      <c r="K26" s="35">
        <f>+'CW - State and Local Share'!D26*'Pop Data'!AB26</f>
        <v>147168.75233515233</v>
      </c>
      <c r="L26" s="35">
        <f>+'Child Care &amp; Dev Fd'!G26*'Child Care &amp; Dev Fd'!V26</f>
        <v>87750.9</v>
      </c>
      <c r="M26" s="35">
        <f>+'Title IV-B'!H26</f>
        <v>2776.8820003998212</v>
      </c>
      <c r="N26" s="35">
        <f>+'Title IV-D'!E26*'Pop Data'!AB26</f>
        <v>113936.10978507194</v>
      </c>
      <c r="O26" s="35">
        <f>+'Title XX'!F26*0.001</f>
        <v>5485.6916838548541</v>
      </c>
      <c r="P26" s="35">
        <f>+TANF!E26*TANF!AA26</f>
        <v>155525.37830122703</v>
      </c>
      <c r="Q26" s="35">
        <f>+Nutrition!AJ26</f>
        <v>215001.75977943672</v>
      </c>
      <c r="R26" s="41">
        <v>0</v>
      </c>
      <c r="S26" s="35">
        <f>+(+'Tax Credits'!O26*'Low Income Pop'!I26)+('Tax Credits'!P26*'Pop Data'!AB26)</f>
        <v>689223.99315040605</v>
      </c>
      <c r="T26" s="86">
        <f t="shared" si="0"/>
        <v>7662806.9751671217</v>
      </c>
    </row>
    <row r="27" spans="1:20" x14ac:dyDescent="0.2">
      <c r="A27" s="41" t="s">
        <v>5</v>
      </c>
      <c r="B27" s="35">
        <f>+'K-12 Educ'!G27*('Pop Data'!V27/'Pop Data'!X27)</f>
        <v>2184753.0363160153</v>
      </c>
      <c r="C27" s="41">
        <v>0</v>
      </c>
      <c r="D27" s="35">
        <f>+'Head Start'!K27</f>
        <v>5.9953432637318791</v>
      </c>
      <c r="E27" s="35">
        <f>+Medicaid!J27*'Low Income Pop'!I27</f>
        <v>411486.19803735946</v>
      </c>
      <c r="F27" s="35">
        <f>+CHIP!E27*'Low Income Pop'!I27</f>
        <v>67518.950590019507</v>
      </c>
      <c r="G27" s="35">
        <f>+'Mental Health'!H27*'Pop Data'!AB27</f>
        <v>38900.471215400299</v>
      </c>
      <c r="H27" s="35">
        <f>+Immunizations!E27*'Pop Data'!AB27</f>
        <v>19277.403356362862</v>
      </c>
      <c r="I27" s="35">
        <f>+MCHBG!I27*'Pop Data'!AB27</f>
        <v>6639.4279131609637</v>
      </c>
      <c r="J27" s="35">
        <f>+'Title IV-E'!V27</f>
        <v>8068.9304958173061</v>
      </c>
      <c r="K27" s="35">
        <f>+'CW - State and Local Share'!D27*'Pop Data'!AB27</f>
        <v>20837.89687562472</v>
      </c>
      <c r="L27" s="35">
        <f>+'Child Care &amp; Dev Fd'!G27*'Child Care &amp; Dev Fd'!V27</f>
        <v>37146.379999999997</v>
      </c>
      <c r="M27" s="35">
        <f>+'Title IV-B'!H27</f>
        <v>3049.694891358949</v>
      </c>
      <c r="N27" s="35">
        <f>+'Title IV-D'!E27*'Pop Data'!AB27</f>
        <v>21073.865410494371</v>
      </c>
      <c r="O27" s="35">
        <f>+'Title XX'!F27*0.001</f>
        <v>6284.550409893327</v>
      </c>
      <c r="P27" s="35">
        <f>+TANF!E27*TANF!AA27</f>
        <v>28337.102623352781</v>
      </c>
      <c r="Q27" s="35">
        <f>+Nutrition!AJ27</f>
        <v>275123.72410514374</v>
      </c>
      <c r="R27" s="41">
        <v>0</v>
      </c>
      <c r="S27" s="35">
        <f>+(+'Tax Credits'!O27*'Low Income Pop'!I27)+('Tax Credits'!P27*'Pop Data'!AB27)</f>
        <v>606388.26365178823</v>
      </c>
      <c r="T27" s="86">
        <f t="shared" si="0"/>
        <v>3734891.8912350554</v>
      </c>
    </row>
    <row r="28" spans="1:20" x14ac:dyDescent="0.2">
      <c r="A28" s="41" t="s">
        <v>6</v>
      </c>
      <c r="B28" s="35">
        <f>+'K-12 Educ'!G28*('Pop Data'!V28/'Pop Data'!X28)</f>
        <v>5054169.9102715133</v>
      </c>
      <c r="C28" s="41">
        <v>0</v>
      </c>
      <c r="D28" s="35">
        <f>+'Head Start'!K28</f>
        <v>2292.5173278343123</v>
      </c>
      <c r="E28" s="35">
        <f>+Medicaid!J28*'Low Income Pop'!I28</f>
        <v>841030.57994990807</v>
      </c>
      <c r="F28" s="35">
        <f>+CHIP!E28*'Low Income Pop'!I28</f>
        <v>53285.93941894536</v>
      </c>
      <c r="G28" s="35">
        <f>+'Mental Health'!H28*'Pop Data'!AB28</f>
        <v>31527.569489543981</v>
      </c>
      <c r="H28" s="35">
        <f>+Immunizations!E28*'Pop Data'!AB28</f>
        <v>26087.548210176887</v>
      </c>
      <c r="I28" s="35">
        <f>+MCHBG!I28*'Pop Data'!AB28</f>
        <v>8049.588938171325</v>
      </c>
      <c r="J28" s="35">
        <f>+'Title IV-E'!V28</f>
        <v>35546.134353818212</v>
      </c>
      <c r="K28" s="35">
        <f>+'CW - State and Local Share'!D28*'Pop Data'!AB28</f>
        <v>94528.402037086518</v>
      </c>
      <c r="L28" s="35">
        <f>+'Child Care &amp; Dev Fd'!G28*'Child Care &amp; Dev Fd'!V28</f>
        <v>65629.929999999993</v>
      </c>
      <c r="M28" s="35">
        <f>+'Title IV-B'!H28</f>
        <v>5836.2850977565549</v>
      </c>
      <c r="N28" s="35">
        <f>+'Title IV-D'!E28*'Pop Data'!AB28</f>
        <v>54616.003028910389</v>
      </c>
      <c r="O28" s="35">
        <f>+'Title XX'!F28*0.001</f>
        <v>14125.627762993794</v>
      </c>
      <c r="P28" s="35">
        <f>+TANF!E28*TANF!AA28</f>
        <v>117151.25715607854</v>
      </c>
      <c r="Q28" s="35">
        <f>+Nutrition!AJ28</f>
        <v>423156.63271858136</v>
      </c>
      <c r="R28" s="41">
        <v>0</v>
      </c>
      <c r="S28" s="35">
        <f>+(+'Tax Credits'!O28*'Low Income Pop'!I28)+('Tax Credits'!P28*'Pop Data'!AB28)</f>
        <v>830345.19554279558</v>
      </c>
      <c r="T28" s="86">
        <f t="shared" si="0"/>
        <v>7657379.1213041143</v>
      </c>
    </row>
    <row r="29" spans="1:20" x14ac:dyDescent="0.2">
      <c r="A29" s="41" t="s">
        <v>7</v>
      </c>
      <c r="B29" s="35">
        <f>+'K-12 Educ'!G29*('Pop Data'!V29/'Pop Data'!X29)</f>
        <v>860109.89760690869</v>
      </c>
      <c r="C29" s="41">
        <v>0</v>
      </c>
      <c r="D29" s="35">
        <f>+'Head Start'!K29</f>
        <v>318.39213716814163</v>
      </c>
      <c r="E29" s="35">
        <f>+Medicaid!J29*'Low Income Pop'!I29</f>
        <v>100262.61105160862</v>
      </c>
      <c r="F29" s="35">
        <f>+CHIP!E29*'Low Income Pop'!I29</f>
        <v>27478.005167722316</v>
      </c>
      <c r="G29" s="35">
        <f>+'Mental Health'!H29*'Pop Data'!AB29</f>
        <v>37926.709836322429</v>
      </c>
      <c r="H29" s="35">
        <f>+Immunizations!E29*'Pop Data'!AB29</f>
        <v>3743.4973020452294</v>
      </c>
      <c r="I29" s="35">
        <f>+MCHBG!I29*'Pop Data'!AB29</f>
        <v>1585.557445823948</v>
      </c>
      <c r="J29" s="35">
        <f>+'Title IV-E'!V29</f>
        <v>7760.6073195783401</v>
      </c>
      <c r="K29" s="35">
        <f>+'CW - State and Local Share'!D29*'Pop Data'!AB29</f>
        <v>14049.007451121723</v>
      </c>
      <c r="L29" s="35">
        <f>+'Child Care &amp; Dev Fd'!G29*'Child Care &amp; Dev Fd'!V29</f>
        <v>10663.559999999998</v>
      </c>
      <c r="M29" s="35">
        <f>+'Title IV-B'!H29</f>
        <v>517.4755300870728</v>
      </c>
      <c r="N29" s="35">
        <f>+'Title IV-D'!E29*'Pop Data'!AB29</f>
        <v>10101.851554194072</v>
      </c>
      <c r="O29" s="35">
        <f>+'Title XX'!F29*0.001</f>
        <v>1647.4319937051653</v>
      </c>
      <c r="P29" s="35">
        <f>+TANF!E29*TANF!AA29</f>
        <v>18486.175284176963</v>
      </c>
      <c r="Q29" s="35">
        <f>+Nutrition!AJ29</f>
        <v>59563.352395624497</v>
      </c>
      <c r="R29" s="41">
        <v>0</v>
      </c>
      <c r="S29" s="35">
        <f>+(+'Tax Credits'!O29*'Low Income Pop'!I29)+('Tax Credits'!P29*'Pop Data'!AB29)</f>
        <v>127757.54450216643</v>
      </c>
      <c r="T29" s="86">
        <f t="shared" si="0"/>
        <v>1281971.6765782535</v>
      </c>
    </row>
    <row r="30" spans="1:20" x14ac:dyDescent="0.2">
      <c r="A30" s="41" t="s">
        <v>8</v>
      </c>
      <c r="B30" s="35">
        <f>+'K-12 Educ'!G30*('Pop Data'!V30/'Pop Data'!X30)</f>
        <v>1996137.4747572273</v>
      </c>
      <c r="C30" s="41">
        <v>0</v>
      </c>
      <c r="D30" s="35">
        <f>+'Head Start'!K30</f>
        <v>683.8397726465364</v>
      </c>
      <c r="E30" s="35">
        <f>+Medicaid!J30*'Low Income Pop'!I30</f>
        <v>142606.79650168854</v>
      </c>
      <c r="F30" s="35">
        <f>+CHIP!E30*'Low Income Pop'!I30</f>
        <v>18817.346825171018</v>
      </c>
      <c r="G30" s="35">
        <f>+'Mental Health'!H30*'Pop Data'!AB30</f>
        <v>4682.4316649143893</v>
      </c>
      <c r="H30" s="35">
        <f>+Immunizations!E30*'Pop Data'!AB30</f>
        <v>9824.6816420862961</v>
      </c>
      <c r="I30" s="35">
        <f>+MCHBG!I30*'Pop Data'!AB30</f>
        <v>2506.0209936858687</v>
      </c>
      <c r="J30" s="35">
        <f>+'Title IV-E'!V30</f>
        <v>9443.0929499034337</v>
      </c>
      <c r="K30" s="35">
        <f>+'CW - State and Local Share'!D30*'Pop Data'!AB30</f>
        <v>66394.876779490936</v>
      </c>
      <c r="L30" s="35">
        <f>+'Child Care &amp; Dev Fd'!G30*'Child Care &amp; Dev Fd'!V30</f>
        <v>44993.049999999996</v>
      </c>
      <c r="M30" s="35">
        <f>+'Title IV-B'!H30</f>
        <v>1164.4544036902694</v>
      </c>
      <c r="N30" s="35">
        <f>+'Title IV-D'!E30*'Pop Data'!AB30</f>
        <v>22660.724899386067</v>
      </c>
      <c r="O30" s="35">
        <f>+'Title XX'!F30*0.001</f>
        <v>1080.5212793021756</v>
      </c>
      <c r="P30" s="35">
        <f>+TANF!E30*TANF!AA30</f>
        <v>35296.365924903868</v>
      </c>
      <c r="Q30" s="35">
        <f>+Nutrition!AJ30</f>
        <v>76219.201696400647</v>
      </c>
      <c r="R30" s="41">
        <v>0</v>
      </c>
      <c r="S30" s="35">
        <f>+(+'Tax Credits'!O30*'Low Income Pop'!I30)+('Tax Credits'!P30*'Pop Data'!AB30)</f>
        <v>259151.8543696978</v>
      </c>
      <c r="T30" s="86">
        <f t="shared" si="0"/>
        <v>2691662.7344601941</v>
      </c>
    </row>
    <row r="31" spans="1:20" x14ac:dyDescent="0.2">
      <c r="A31" s="41" t="s">
        <v>92</v>
      </c>
      <c r="B31" s="35">
        <f>+'K-12 Educ'!G31*('Pop Data'!V31/'Pop Data'!X31)</f>
        <v>2080359.1582581459</v>
      </c>
      <c r="C31" s="41">
        <v>0</v>
      </c>
      <c r="D31" s="35">
        <f>+'Head Start'!K31</f>
        <v>13.014866637706342</v>
      </c>
      <c r="E31" s="35">
        <f>+Medicaid!J31*'Low Income Pop'!I31</f>
        <v>205310.90792790835</v>
      </c>
      <c r="F31" s="35">
        <f>+CHIP!E31*'Low Income Pop'!I31</f>
        <v>14351.928470576209</v>
      </c>
      <c r="G31" s="35">
        <f>+'Mental Health'!H31*'Pop Data'!AB31</f>
        <v>11927.954025335845</v>
      </c>
      <c r="H31" s="35">
        <f>+Immunizations!E31*'Pop Data'!AB31</f>
        <v>14721.26580948879</v>
      </c>
      <c r="I31" s="35">
        <f>+MCHBG!I31*'Pop Data'!AB31</f>
        <v>1077.7726963499667</v>
      </c>
      <c r="J31" s="35">
        <f>+'Title IV-E'!V31</f>
        <v>18187.933865786195</v>
      </c>
      <c r="K31" s="35">
        <f>+'CW - State and Local Share'!D31*'Pop Data'!AB31</f>
        <v>23726.627371406441</v>
      </c>
      <c r="L31" s="35">
        <f>+'Child Care &amp; Dev Fd'!G31*'Child Care &amp; Dev Fd'!V31</f>
        <v>22494.149999999998</v>
      </c>
      <c r="M31" s="35">
        <f>+'Title IV-B'!H31</f>
        <v>2085.1066480861591</v>
      </c>
      <c r="N31" s="35">
        <f>+'Title IV-D'!E31*'Pop Data'!AB31</f>
        <v>32851.295102496595</v>
      </c>
      <c r="O31" s="35">
        <f>+'Title XX'!F31*0.001</f>
        <v>3077.6525765063852</v>
      </c>
      <c r="P31" s="35">
        <f>+TANF!E31*TANF!AA31</f>
        <v>38650.129113189098</v>
      </c>
      <c r="Q31" s="35">
        <f>+Nutrition!AJ31</f>
        <v>142187.51135890713</v>
      </c>
      <c r="R31" s="41">
        <v>0</v>
      </c>
      <c r="S31" s="35">
        <f>+(+'Tax Credits'!O31*'Low Income Pop'!I31)+('Tax Credits'!P31*'Pop Data'!AB31)</f>
        <v>414510.38155159605</v>
      </c>
      <c r="T31" s="86">
        <f t="shared" si="0"/>
        <v>3025532.7896424169</v>
      </c>
    </row>
    <row r="32" spans="1:20" x14ac:dyDescent="0.2">
      <c r="A32" s="41" t="s">
        <v>9</v>
      </c>
      <c r="B32" s="35">
        <f>+'K-12 Educ'!G32*('Pop Data'!V32/'Pop Data'!X32)</f>
        <v>1418565.8367677019</v>
      </c>
      <c r="C32" s="41">
        <v>0</v>
      </c>
      <c r="D32" s="35">
        <f>+'Head Start'!K32</f>
        <v>14.297073597056118</v>
      </c>
      <c r="E32" s="35">
        <f>+Medicaid!J32*'Low Income Pop'!I32</f>
        <v>122632.45431648006</v>
      </c>
      <c r="F32" s="35">
        <f>+CHIP!E32*'Low Income Pop'!I32</f>
        <v>6539.941524638095</v>
      </c>
      <c r="G32" s="35">
        <f>+'Mental Health'!H32*'Pop Data'!AB32</f>
        <v>17071.69275062114</v>
      </c>
      <c r="H32" s="35">
        <f>+Immunizations!E32*'Pop Data'!AB32</f>
        <v>4282.6187431596563</v>
      </c>
      <c r="I32" s="35">
        <f>+MCHBG!I32*'Pop Data'!AB32</f>
        <v>2371.5395303813129</v>
      </c>
      <c r="J32" s="35">
        <f>+'Title IV-E'!V32</f>
        <v>4085.3334763498765</v>
      </c>
      <c r="K32" s="35">
        <f>+'CW - State and Local Share'!D32*'Pop Data'!AB32</f>
        <v>13839.544025614903</v>
      </c>
      <c r="L32" s="35">
        <f>+'Child Care &amp; Dev Fd'!G32*'Child Care &amp; Dev Fd'!V32</f>
        <v>9737.3499999999985</v>
      </c>
      <c r="M32" s="35">
        <f>+'Title IV-B'!H32</f>
        <v>610.48030207107831</v>
      </c>
      <c r="N32" s="35">
        <f>+'Title IV-D'!E32*'Pop Data'!AB32</f>
        <v>12753.543588997234</v>
      </c>
      <c r="O32" s="35">
        <f>+'Title XX'!F32*0.001</f>
        <v>824.6286734688689</v>
      </c>
      <c r="P32" s="35">
        <f>+TANF!E32*TANF!AA32</f>
        <v>27703.321144536523</v>
      </c>
      <c r="Q32" s="35">
        <f>+Nutrition!AJ32</f>
        <v>42521.882509464936</v>
      </c>
      <c r="R32" s="41">
        <v>0</v>
      </c>
      <c r="S32" s="35">
        <f>+(+'Tax Credits'!O32*'Low Income Pop'!I32)+('Tax Credits'!P32*'Pop Data'!AB32)</f>
        <v>125927.37957612512</v>
      </c>
      <c r="T32" s="86">
        <f t="shared" si="0"/>
        <v>1809481.844003208</v>
      </c>
    </row>
    <row r="33" spans="1:20" x14ac:dyDescent="0.2">
      <c r="A33" s="41" t="s">
        <v>10</v>
      </c>
      <c r="B33" s="35">
        <f>+'K-12 Educ'!G33*('Pop Data'!V33/'Pop Data'!X33)</f>
        <v>12907404.348981772</v>
      </c>
      <c r="C33" s="41">
        <v>0</v>
      </c>
      <c r="D33" s="35">
        <f>+'Head Start'!K33</f>
        <v>570.30336703898615</v>
      </c>
      <c r="E33" s="35">
        <f>+Medicaid!J33*'Low Income Pop'!I33</f>
        <v>742328.15892388124</v>
      </c>
      <c r="F33" s="35">
        <f>+CHIP!E33*'Low Income Pop'!I33</f>
        <v>296001.14497173025</v>
      </c>
      <c r="G33" s="35">
        <f>+'Mental Health'!H33*'Pop Data'!AB33</f>
        <v>126858.99864452553</v>
      </c>
      <c r="H33" s="35">
        <f>+Immunizations!E33*'Pop Data'!AB33</f>
        <v>31629.073352598523</v>
      </c>
      <c r="I33" s="35">
        <f>+MCHBG!I33*'Pop Data'!AB33</f>
        <v>36624.890293259326</v>
      </c>
      <c r="J33" s="35">
        <f>+'Title IV-E'!V33</f>
        <v>45385.968831708109</v>
      </c>
      <c r="K33" s="35">
        <f>+'CW - State and Local Share'!D33*'Pop Data'!AB33</f>
        <v>253966.67686874748</v>
      </c>
      <c r="L33" s="35">
        <f>+'Child Care &amp; Dev Fd'!G33*'Child Care &amp; Dev Fd'!V33</f>
        <v>105728.27999999998</v>
      </c>
      <c r="M33" s="35">
        <f>+'Title IV-B'!H33</f>
        <v>4373.119388105948</v>
      </c>
      <c r="N33" s="35">
        <f>+'Title IV-D'!E33*'Pop Data'!AB33</f>
        <v>182794.88597620194</v>
      </c>
      <c r="O33" s="35">
        <f>+'Title XX'!F33*0.001</f>
        <v>11188.538665735106</v>
      </c>
      <c r="P33" s="35">
        <f>+TANF!E33*TANF!AA33</f>
        <v>398469.42421694612</v>
      </c>
      <c r="Q33" s="35">
        <f>+Nutrition!AJ33</f>
        <v>329261.95074495964</v>
      </c>
      <c r="R33" s="41">
        <v>0</v>
      </c>
      <c r="S33" s="35">
        <f>+(+'Tax Credits'!O33*'Low Income Pop'!I33)+('Tax Credits'!P33*'Pop Data'!AB33)</f>
        <v>1019655.8578217584</v>
      </c>
      <c r="T33" s="86">
        <f t="shared" si="0"/>
        <v>16492241.621048968</v>
      </c>
    </row>
    <row r="34" spans="1:20" x14ac:dyDescent="0.2">
      <c r="A34" s="41" t="s">
        <v>11</v>
      </c>
      <c r="B34" s="35">
        <f>+'K-12 Educ'!G34*('Pop Data'!V34/'Pop Data'!X34)</f>
        <v>1886955.2940850134</v>
      </c>
      <c r="C34" s="41">
        <v>0</v>
      </c>
      <c r="D34" s="35">
        <f>+'Head Start'!K34</f>
        <v>1326.2628854308855</v>
      </c>
      <c r="E34" s="35">
        <f>+Medicaid!J34*'Low Income Pop'!I34</f>
        <v>633115.44757837802</v>
      </c>
      <c r="F34" s="35">
        <f>+CHIP!E34*'Low Income Pop'!I34</f>
        <v>53992.101951754972</v>
      </c>
      <c r="G34" s="35">
        <f>+'Mental Health'!H34*'Pop Data'!AB34</f>
        <v>56086.732031988053</v>
      </c>
      <c r="H34" s="35">
        <f>+Immunizations!E34*'Pop Data'!AB34</f>
        <v>15473.585064619529</v>
      </c>
      <c r="I34" s="35">
        <f>+MCHBG!I34*'Pop Data'!AB34</f>
        <v>2785.0875882315208</v>
      </c>
      <c r="J34" s="35">
        <f>+'Title IV-E'!V34</f>
        <v>19375.529339521268</v>
      </c>
      <c r="K34" s="35">
        <f>+'CW - State and Local Share'!D34*'Pop Data'!AB34</f>
        <v>14180.086958296562</v>
      </c>
      <c r="L34" s="35">
        <f>+'Child Care &amp; Dev Fd'!G34*'Child Care &amp; Dev Fd'!V34</f>
        <v>31116.949999999997</v>
      </c>
      <c r="M34" s="35">
        <f>+'Title IV-B'!H34</f>
        <v>1444.2064800844632</v>
      </c>
      <c r="N34" s="35">
        <f>+'Title IV-D'!E34*'Pop Data'!AB34</f>
        <v>27353.428810244885</v>
      </c>
      <c r="O34" s="35">
        <f>+'Title XX'!F34*0.001</f>
        <v>3064.7696949486494</v>
      </c>
      <c r="P34" s="35">
        <f>+TANF!E34*TANF!AA34</f>
        <v>73155.615067406892</v>
      </c>
      <c r="Q34" s="35">
        <f>+Nutrition!AJ34</f>
        <v>211471.96984897781</v>
      </c>
      <c r="R34" s="41">
        <v>0</v>
      </c>
      <c r="S34" s="35">
        <f>+(+'Tax Credits'!O34*'Low Income Pop'!I34)+('Tax Credits'!P34*'Pop Data'!AB34)</f>
        <v>356613.60495919699</v>
      </c>
      <c r="T34" s="86">
        <f t="shared" si="0"/>
        <v>3387510.6723440941</v>
      </c>
    </row>
    <row r="35" spans="1:20" s="23" customFormat="1" x14ac:dyDescent="0.2">
      <c r="A35" s="42" t="s">
        <v>12</v>
      </c>
      <c r="B35" s="37">
        <f>+'K-12 Educ'!G35*('Pop Data'!V35/'Pop Data'!X35)</f>
        <v>28104524.240574487</v>
      </c>
      <c r="C35" s="42">
        <v>0</v>
      </c>
      <c r="D35" s="37">
        <f>+'Head Start'!K35</f>
        <v>6224.0520124006807</v>
      </c>
      <c r="E35" s="37">
        <f>+Medicaid!J35*'Low Income Pop'!I35</f>
        <v>2445788.4978356576</v>
      </c>
      <c r="F35" s="37">
        <f>+CHIP!E35*'Low Income Pop'!I35</f>
        <v>280258.57856688334</v>
      </c>
      <c r="G35" s="37">
        <f>+'Mental Health'!H35*'Pop Data'!AB35</f>
        <v>284009.36126115877</v>
      </c>
      <c r="H35" s="37">
        <f>+Immunizations!E35*'Pop Data'!AB35</f>
        <v>97373.823234851006</v>
      </c>
      <c r="I35" s="37">
        <f>+MCHBG!I35*'Pop Data'!AB35</f>
        <v>70072.920281185245</v>
      </c>
      <c r="J35" s="37">
        <f>+'Title IV-E'!V35</f>
        <v>178109.43447849175</v>
      </c>
      <c r="K35" s="37">
        <f>+'CW - State and Local Share'!D35*'Pop Data'!AB35</f>
        <v>658850.65196237341</v>
      </c>
      <c r="L35" s="37">
        <f>+'Child Care &amp; Dev Fd'!G35*'Child Care &amp; Dev Fd'!V35</f>
        <v>375349.91999999993</v>
      </c>
      <c r="M35" s="37">
        <f>+'Title IV-B'!H35</f>
        <v>11519.077984420048</v>
      </c>
      <c r="N35" s="37">
        <f>+'Title IV-D'!E35*'Pop Data'!AB35</f>
        <v>239836.9543474151</v>
      </c>
      <c r="O35" s="37">
        <f>+'Title XX'!F35*0.001</f>
        <v>65969.134921470235</v>
      </c>
      <c r="P35" s="37">
        <f>+TANF!E35*TANF!AA35</f>
        <v>1630466.0944065386</v>
      </c>
      <c r="Q35" s="37">
        <f>+Nutrition!AJ35</f>
        <v>1459175.4671366122</v>
      </c>
      <c r="R35" s="42">
        <v>0</v>
      </c>
      <c r="S35" s="37">
        <f>+(+'Tax Credits'!O35*'Low Income Pop'!I35)+('Tax Credits'!P35*'Pop Data'!AB35)</f>
        <v>3169716.4938697955</v>
      </c>
      <c r="T35" s="108">
        <f t="shared" si="0"/>
        <v>39077244.702873744</v>
      </c>
    </row>
    <row r="36" spans="1:20" x14ac:dyDescent="0.2">
      <c r="A36" s="41" t="s">
        <v>13</v>
      </c>
      <c r="B36" s="35">
        <f>+'K-12 Educ'!G36*('Pop Data'!V36/'Pop Data'!X36)</f>
        <v>6871257.8037465559</v>
      </c>
      <c r="C36" s="41">
        <v>0</v>
      </c>
      <c r="D36" s="35">
        <f>+'Head Start'!K36</f>
        <v>5304.45023005645</v>
      </c>
      <c r="E36" s="35">
        <f>+Medicaid!J36*'Low Income Pop'!I36</f>
        <v>1204504.1664141519</v>
      </c>
      <c r="F36" s="35">
        <f>+CHIP!E36*'Low Income Pop'!I36</f>
        <v>130727.78278257784</v>
      </c>
      <c r="G36" s="35">
        <f>+'Mental Health'!H36*'Pop Data'!AB36</f>
        <v>262484.98221976199</v>
      </c>
      <c r="H36" s="35">
        <f>+Immunizations!E36*'Pop Data'!AB36</f>
        <v>44082.93557224534</v>
      </c>
      <c r="I36" s="35">
        <f>+MCHBG!I36*'Pop Data'!AB36</f>
        <v>17226.878658085534</v>
      </c>
      <c r="J36" s="35">
        <f>+'Title IV-E'!V36</f>
        <v>42831.309914217534</v>
      </c>
      <c r="K36" s="35">
        <f>+'CW - State and Local Share'!D36*'Pop Data'!AB36</f>
        <v>90528.827090680716</v>
      </c>
      <c r="L36" s="35">
        <f>+'Child Care &amp; Dev Fd'!G36*'Child Care &amp; Dev Fd'!V36</f>
        <v>184671.90000000002</v>
      </c>
      <c r="M36" s="35">
        <f>+'Title IV-B'!H36</f>
        <v>6622.0794184000824</v>
      </c>
      <c r="N36" s="35">
        <f>+'Title IV-D'!E36*'Pop Data'!AB36</f>
        <v>100136.33850974053</v>
      </c>
      <c r="O36" s="35">
        <f>+'Title XX'!F36*0.001</f>
        <v>7845.0534091063028</v>
      </c>
      <c r="P36" s="35">
        <f>+TANF!E36*TANF!AA36</f>
        <v>205465.41787550814</v>
      </c>
      <c r="Q36" s="35">
        <f>+Nutrition!AJ36</f>
        <v>698161.43303334247</v>
      </c>
      <c r="R36" s="41">
        <v>0</v>
      </c>
      <c r="S36" s="35">
        <f>+(+'Tax Credits'!O36*'Low Income Pop'!I36)+('Tax Credits'!P36*'Pop Data'!AB36)</f>
        <v>1563000.6956920838</v>
      </c>
      <c r="T36" s="86">
        <f t="shared" ref="T36:T53" si="1">SUM(B36:S36)</f>
        <v>11434852.054566517</v>
      </c>
    </row>
    <row r="37" spans="1:20" x14ac:dyDescent="0.2">
      <c r="A37" s="41" t="s">
        <v>14</v>
      </c>
      <c r="B37" s="35">
        <f>+'K-12 Educ'!G37*('Pop Data'!V37/'Pop Data'!X37)</f>
        <v>676470.24695621151</v>
      </c>
      <c r="C37" s="41">
        <v>0</v>
      </c>
      <c r="D37" s="35">
        <f>+'Head Start'!K37</f>
        <v>265.42214452926208</v>
      </c>
      <c r="E37" s="35">
        <f>+Medicaid!J37*'Low Income Pop'!I37</f>
        <v>57053.880631791464</v>
      </c>
      <c r="F37" s="35">
        <f>+CHIP!E37*'Low Income Pop'!I37</f>
        <v>9079.2708271480315</v>
      </c>
      <c r="G37" s="35">
        <f>+'Mental Health'!H37*'Pop Data'!AB37</f>
        <v>1349.7020446123149</v>
      </c>
      <c r="H37" s="35">
        <f>+Immunizations!E37*'Pop Data'!AB37</f>
        <v>3122.2620201800682</v>
      </c>
      <c r="I37" s="35">
        <f>+MCHBG!I37*'Pop Data'!AB37</f>
        <v>1163.8670704750079</v>
      </c>
      <c r="J37" s="35">
        <f>+'Title IV-E'!V37</f>
        <v>4512.9026664596913</v>
      </c>
      <c r="K37" s="35">
        <f>+'CW - State and Local Share'!D37*'Pop Data'!AB37</f>
        <v>9664.076425540723</v>
      </c>
      <c r="L37" s="35">
        <f>+'Child Care &amp; Dev Fd'!G37*'Child Care &amp; Dev Fd'!V37</f>
        <v>3442.24</v>
      </c>
      <c r="M37" s="35">
        <f>+'Title IV-B'!H37</f>
        <v>336.18481304994526</v>
      </c>
      <c r="N37" s="35">
        <f>+'Title IV-D'!E37*'Pop Data'!AB37</f>
        <v>10014.151880885853</v>
      </c>
      <c r="O37" s="35">
        <f>+'Title XX'!F37*0.001</f>
        <v>320.34437146173252</v>
      </c>
      <c r="P37" s="35">
        <f>+TANF!E37*TANF!AA37</f>
        <v>14775.75346009884</v>
      </c>
      <c r="Q37" s="35">
        <f>+Nutrition!AJ37</f>
        <v>24710.050457482626</v>
      </c>
      <c r="R37" s="41">
        <v>0</v>
      </c>
      <c r="S37" s="35">
        <f>+(+'Tax Credits'!O37*'Low Income Pop'!I37)+('Tax Credits'!P37*'Pop Data'!AB37)</f>
        <v>81681.106770946775</v>
      </c>
      <c r="T37" s="86">
        <f t="shared" si="1"/>
        <v>897961.46254087379</v>
      </c>
    </row>
    <row r="38" spans="1:20" x14ac:dyDescent="0.2">
      <c r="A38" s="41" t="s">
        <v>15</v>
      </c>
      <c r="B38" s="35">
        <f>+'K-12 Educ'!G38*('Pop Data'!V38/'Pop Data'!X38)</f>
        <v>11527533.304622339</v>
      </c>
      <c r="C38" s="41">
        <v>0</v>
      </c>
      <c r="D38" s="35">
        <f>+'Head Start'!K38</f>
        <v>15996.181948216105</v>
      </c>
      <c r="E38" s="35">
        <f>+Medicaid!J38*'Low Income Pop'!I38</f>
        <v>1050337.469464618</v>
      </c>
      <c r="F38" s="35">
        <f>+CHIP!E38*'Low Income Pop'!I38</f>
        <v>142855.25968682006</v>
      </c>
      <c r="G38" s="35">
        <f>+'Mental Health'!H38*'Pop Data'!AB38</f>
        <v>147267.05829039364</v>
      </c>
      <c r="H38" s="35">
        <f>+Immunizations!E38*'Pop Data'!AB38</f>
        <v>45201.652148283159</v>
      </c>
      <c r="I38" s="35">
        <f>+MCHBG!I38*'Pop Data'!AB38</f>
        <v>22857.660554898233</v>
      </c>
      <c r="J38" s="35">
        <f>+'Title IV-E'!V38</f>
        <v>122574.23972591164</v>
      </c>
      <c r="K38" s="35">
        <f>+'CW - State and Local Share'!D38*'Pop Data'!AB38</f>
        <v>349620.03801666421</v>
      </c>
      <c r="L38" s="35">
        <f>+'Child Care &amp; Dev Fd'!G38*'Child Care &amp; Dev Fd'!V38</f>
        <v>125107.49999999999</v>
      </c>
      <c r="M38" s="35">
        <f>+'Title IV-B'!H38</f>
        <v>8906.6461704398407</v>
      </c>
      <c r="N38" s="35">
        <f>+'Title IV-D'!E38*'Pop Data'!AB38</f>
        <v>158702.87017930872</v>
      </c>
      <c r="O38" s="35">
        <f>+'Title XX'!F38*0.001</f>
        <v>7254.7224731305942</v>
      </c>
      <c r="P38" s="35">
        <f>+TANF!E38*TANF!AA38</f>
        <v>378951.52264796803</v>
      </c>
      <c r="Q38" s="35">
        <f>+Nutrition!AJ38</f>
        <v>933143.01388533029</v>
      </c>
      <c r="R38" s="41">
        <v>0</v>
      </c>
      <c r="S38" s="35">
        <f>+(+'Tax Credits'!O38*'Low Income Pop'!I38)+('Tax Credits'!P38*'Pop Data'!AB38)</f>
        <v>1523796.5616626679</v>
      </c>
      <c r="T38" s="86">
        <f t="shared" si="1"/>
        <v>16560105.701476993</v>
      </c>
    </row>
    <row r="39" spans="1:20" x14ac:dyDescent="0.2">
      <c r="A39" s="41" t="s">
        <v>16</v>
      </c>
      <c r="B39" s="35">
        <f>+'K-12 Educ'!G39*('Pop Data'!V39/'Pop Data'!X39)</f>
        <v>2958375.0355291623</v>
      </c>
      <c r="C39" s="41">
        <v>0</v>
      </c>
      <c r="D39" s="35">
        <f>+'Head Start'!K39</f>
        <v>136.91352235703582</v>
      </c>
      <c r="E39" s="35">
        <f>+Medicaid!J39*'Low Income Pop'!I39</f>
        <v>522488.76604161115</v>
      </c>
      <c r="F39" s="35">
        <f>+CHIP!E39*'Low Income Pop'!I39</f>
        <v>49330.661077595731</v>
      </c>
      <c r="G39" s="35">
        <f>+'Mental Health'!H39*'Pop Data'!AB39</f>
        <v>8654.3794941063989</v>
      </c>
      <c r="H39" s="35">
        <f>+Immunizations!E39*'Pop Data'!AB39</f>
        <v>25354.747827089399</v>
      </c>
      <c r="I39" s="35">
        <f>+MCHBG!I39*'Pop Data'!AB39</f>
        <v>5258.5206741913225</v>
      </c>
      <c r="J39" s="35">
        <f>+'Title IV-E'!V39</f>
        <v>25979.010315590647</v>
      </c>
      <c r="K39" s="35">
        <f>+'CW - State and Local Share'!D39*'Pop Data'!AB39</f>
        <v>42559.207043589304</v>
      </c>
      <c r="L39" s="35">
        <f>+'Child Care &amp; Dev Fd'!G39*'Child Care &amp; Dev Fd'!V39</f>
        <v>50369</v>
      </c>
      <c r="M39" s="35">
        <f>+'Title IV-B'!H39</f>
        <v>2162.1502287828366</v>
      </c>
      <c r="N39" s="35">
        <f>+'Title IV-D'!E39*'Pop Data'!AB39</f>
        <v>50312.752779872899</v>
      </c>
      <c r="O39" s="35">
        <f>+'Title XX'!F39*0.001</f>
        <v>9705.9818480000013</v>
      </c>
      <c r="P39" s="35">
        <f>+TANF!E39*TANF!AA39</f>
        <v>60458.198828778019</v>
      </c>
      <c r="Q39" s="35">
        <f>+Nutrition!AJ39</f>
        <v>280158.37559419248</v>
      </c>
      <c r="R39" s="41">
        <v>0</v>
      </c>
      <c r="S39" s="35">
        <f>+(+'Tax Credits'!O39*'Low Income Pop'!I39)+('Tax Credits'!P39*'Pop Data'!AB39)</f>
        <v>599123.37184179225</v>
      </c>
      <c r="T39" s="86">
        <f t="shared" si="1"/>
        <v>4690427.0726467129</v>
      </c>
    </row>
    <row r="40" spans="1:20" x14ac:dyDescent="0.2">
      <c r="A40" s="41" t="s">
        <v>17</v>
      </c>
      <c r="B40" s="35">
        <f>+'K-12 Educ'!G40*('Pop Data'!V40/'Pop Data'!X40)</f>
        <v>3035983.5724681104</v>
      </c>
      <c r="C40" s="41">
        <v>0</v>
      </c>
      <c r="D40" s="35">
        <f>+'Head Start'!K40</f>
        <v>597.41032324740195</v>
      </c>
      <c r="E40" s="35">
        <f>+Medicaid!J40*'Low Income Pop'!I40</f>
        <v>322670.18656333134</v>
      </c>
      <c r="F40" s="35">
        <f>+CHIP!E40*'Low Income Pop'!I40</f>
        <v>62572.004121111466</v>
      </c>
      <c r="G40" s="35">
        <f>+'Mental Health'!H40*'Pop Data'!AB40</f>
        <v>58432.807320227301</v>
      </c>
      <c r="H40" s="35">
        <f>+Immunizations!E40*'Pop Data'!AB40</f>
        <v>15007.896084452677</v>
      </c>
      <c r="I40" s="35">
        <f>+MCHBG!I40*'Pop Data'!AB40</f>
        <v>15949.284918582331</v>
      </c>
      <c r="J40" s="35">
        <f>+'Title IV-E'!V40</f>
        <v>41091.079626968341</v>
      </c>
      <c r="K40" s="35">
        <f>+'CW - State and Local Share'!D40*'Pop Data'!AB40</f>
        <v>78448.81063972188</v>
      </c>
      <c r="L40" s="35">
        <f>+'Child Care &amp; Dev Fd'!G40*'Child Care &amp; Dev Fd'!V40</f>
        <v>44504.72</v>
      </c>
      <c r="M40" s="35">
        <f>+'Title IV-B'!H40</f>
        <v>1731.891345976069</v>
      </c>
      <c r="N40" s="35">
        <f>+'Title IV-D'!E40*'Pop Data'!AB40</f>
        <v>44931.3477732436</v>
      </c>
      <c r="O40" s="35">
        <f>+'Title XX'!F40*0.001</f>
        <v>8373.0738279999987</v>
      </c>
      <c r="P40" s="35">
        <f>+TANF!E40*TANF!AA40</f>
        <v>130543.09921435463</v>
      </c>
      <c r="Q40" s="35">
        <f>+Nutrition!AJ40</f>
        <v>365077.82156157738</v>
      </c>
      <c r="R40" s="41">
        <v>0</v>
      </c>
      <c r="S40" s="35">
        <f>+(+'Tax Credits'!O40*'Low Income Pop'!I40)+('Tax Credits'!P40*'Pop Data'!AB40)</f>
        <v>468872.1921701933</v>
      </c>
      <c r="T40" s="86">
        <f t="shared" si="1"/>
        <v>4694787.197959098</v>
      </c>
    </row>
    <row r="41" spans="1:20" x14ac:dyDescent="0.2">
      <c r="A41" s="41" t="s">
        <v>18</v>
      </c>
      <c r="B41" s="35">
        <f>+'K-12 Educ'!G41*('Pop Data'!V41/'Pop Data'!X41)</f>
        <v>12833427.415031865</v>
      </c>
      <c r="C41" s="41">
        <v>0</v>
      </c>
      <c r="D41" s="35">
        <f>+'Head Start'!K41</f>
        <v>4380.4199135980252</v>
      </c>
      <c r="E41" s="35">
        <f>+Medicaid!J41*'Low Income Pop'!I41</f>
        <v>1529763.4326037364</v>
      </c>
      <c r="F41" s="35">
        <f>+CHIP!E41*'Low Income Pop'!I41</f>
        <v>140086.88078531888</v>
      </c>
      <c r="G41" s="35">
        <f>+'Mental Health'!H41*'Pop Data'!AB41</f>
        <v>787886.01651734381</v>
      </c>
      <c r="H41" s="35">
        <f>+Immunizations!E41*'Pop Data'!AB41</f>
        <v>48689.983377056757</v>
      </c>
      <c r="I41" s="35">
        <f>+MCHBG!I41*'Pop Data'!AB41</f>
        <v>30494.230223820956</v>
      </c>
      <c r="J41" s="35">
        <f>+'Title IV-E'!V41</f>
        <v>85907.518947956938</v>
      </c>
      <c r="K41" s="35">
        <f>+'CW - State and Local Share'!D41*'Pop Data'!AB41</f>
        <v>500421.50728593924</v>
      </c>
      <c r="L41" s="35">
        <f>+'Child Care &amp; Dev Fd'!G41*'Child Care &amp; Dev Fd'!V41</f>
        <v>212925.09</v>
      </c>
      <c r="M41" s="35">
        <f>+'Title IV-B'!H41</f>
        <v>6603.7271301865358</v>
      </c>
      <c r="N41" s="35">
        <f>+'Title IV-D'!E41*'Pop Data'!AB41</f>
        <v>156764.55651667929</v>
      </c>
      <c r="O41" s="35">
        <f>+'Title XX'!F41*0.001</f>
        <v>24850.761660458513</v>
      </c>
      <c r="P41" s="35">
        <f>+TANF!E41*TANF!AA41</f>
        <v>344360.29502457846</v>
      </c>
      <c r="Q41" s="35">
        <f>+Nutrition!AJ41</f>
        <v>762225.2847598216</v>
      </c>
      <c r="R41" s="41">
        <v>0</v>
      </c>
      <c r="S41" s="35">
        <f>+(+'Tax Credits'!O41*'Low Income Pop'!I41)+('Tax Credits'!P41*'Pop Data'!AB41)</f>
        <v>1406864.0593201173</v>
      </c>
      <c r="T41" s="86">
        <f t="shared" si="1"/>
        <v>18875651.179098476</v>
      </c>
    </row>
    <row r="42" spans="1:20" x14ac:dyDescent="0.2">
      <c r="A42" s="41" t="s">
        <v>19</v>
      </c>
      <c r="B42" s="35">
        <f>+'K-12 Educ'!G42*('Pop Data'!V42/'Pop Data'!X42)</f>
        <v>1131201.9407468867</v>
      </c>
      <c r="C42" s="41">
        <v>0</v>
      </c>
      <c r="D42" s="35">
        <f>+'Head Start'!K42</f>
        <v>297.66865293185418</v>
      </c>
      <c r="E42" s="35">
        <f>+Medicaid!J42*'Low Income Pop'!I42</f>
        <v>142115.6309066891</v>
      </c>
      <c r="F42" s="35">
        <f>+CHIP!E42*'Low Income Pop'!I42</f>
        <v>16868.058124174371</v>
      </c>
      <c r="G42" s="35">
        <f>+'Mental Health'!H42*'Pop Data'!AB42</f>
        <v>0</v>
      </c>
      <c r="H42" s="35">
        <f>+Immunizations!E42*'Pop Data'!AB42</f>
        <v>6379.5835426009598</v>
      </c>
      <c r="I42" s="35">
        <f>+MCHBG!I42*'Pop Data'!AB42</f>
        <v>1374.6102416918429</v>
      </c>
      <c r="J42" s="35">
        <f>+'Title IV-E'!V42</f>
        <v>4938.8952316860232</v>
      </c>
      <c r="K42" s="35">
        <f>+'CW - State and Local Share'!D42*'Pop Data'!AB42</f>
        <v>42193.778305939748</v>
      </c>
      <c r="L42" s="35">
        <f>+'Child Care &amp; Dev Fd'!G42*'Child Care &amp; Dev Fd'!V42</f>
        <v>18909.5</v>
      </c>
      <c r="M42" s="35">
        <f>+'Title IV-B'!H42</f>
        <v>650.61703924672952</v>
      </c>
      <c r="N42" s="35">
        <f>+'Title IV-D'!E42*'Pop Data'!AB42</f>
        <v>9423.4900496133487</v>
      </c>
      <c r="O42" s="35">
        <f>+'Title XX'!F42*0.001</f>
        <v>4413.3220871601807</v>
      </c>
      <c r="P42" s="35">
        <f>+TANF!E42*TANF!AA42</f>
        <v>47756.283225218416</v>
      </c>
      <c r="Q42" s="35">
        <f>+Nutrition!AJ42</f>
        <v>69939.530139684488</v>
      </c>
      <c r="R42" s="41">
        <v>0</v>
      </c>
      <c r="S42" s="35">
        <f>+(+'Tax Credits'!O42*'Low Income Pop'!I42)+('Tax Credits'!P42*'Pop Data'!AB42)</f>
        <v>119285.59369332972</v>
      </c>
      <c r="T42" s="86">
        <f t="shared" si="1"/>
        <v>1615748.5019868538</v>
      </c>
    </row>
    <row r="43" spans="1:20" x14ac:dyDescent="0.2">
      <c r="A43" s="41" t="s">
        <v>20</v>
      </c>
      <c r="B43" s="35">
        <f>+'K-12 Educ'!G43*('Pop Data'!V43/'Pop Data'!X43)</f>
        <v>3966782.3254041919</v>
      </c>
      <c r="C43" s="41">
        <v>0</v>
      </c>
      <c r="D43" s="35">
        <f>+'Head Start'!K43</f>
        <v>186.5065956761112</v>
      </c>
      <c r="E43" s="35">
        <f>+Medicaid!J43*'Low Income Pop'!I43</f>
        <v>407514.40264162363</v>
      </c>
      <c r="F43" s="35">
        <f>+CHIP!E43*'Low Income Pop'!I43</f>
        <v>40656.140497246786</v>
      </c>
      <c r="G43" s="35">
        <f>+'Mental Health'!H43*'Pop Data'!AB43</f>
        <v>27582.421267499984</v>
      </c>
      <c r="H43" s="35">
        <f>+Immunizations!E43*'Pop Data'!AB43</f>
        <v>21910.057350020834</v>
      </c>
      <c r="I43" s="35">
        <f>+MCHBG!I43*'Pop Data'!AB43</f>
        <v>7166.1863881843183</v>
      </c>
      <c r="J43" s="35">
        <f>+'Title IV-E'!V43</f>
        <v>14438.895965419548</v>
      </c>
      <c r="K43" s="35">
        <f>+'CW - State and Local Share'!D43*'Pop Data'!AB43</f>
        <v>34982.360069994167</v>
      </c>
      <c r="L43" s="35">
        <f>+'Child Care &amp; Dev Fd'!G43*'Child Care &amp; Dev Fd'!V43</f>
        <v>28475.839999999997</v>
      </c>
      <c r="M43" s="35">
        <f>+'Title IV-B'!H43</f>
        <v>4181.2617268488357</v>
      </c>
      <c r="N43" s="35">
        <f>+'Title IV-D'!E43*'Pop Data'!AB43</f>
        <v>38667.473343888014</v>
      </c>
      <c r="O43" s="35">
        <f>+'Title XX'!F43*0.001</f>
        <v>4343.8173335786214</v>
      </c>
      <c r="P43" s="35">
        <f>+TANF!E43*TANF!AA43</f>
        <v>55706.616742022125</v>
      </c>
      <c r="Q43" s="35">
        <f>+Nutrition!AJ43</f>
        <v>391400.34562524891</v>
      </c>
      <c r="R43" s="41">
        <v>0</v>
      </c>
      <c r="S43" s="35">
        <f>+(+'Tax Credits'!O43*'Low Income Pop'!I43)+('Tax Credits'!P43*'Pop Data'!AB43)</f>
        <v>777074.96458610916</v>
      </c>
      <c r="T43" s="86">
        <f t="shared" si="1"/>
        <v>5821069.6155375531</v>
      </c>
    </row>
    <row r="44" spans="1:20" x14ac:dyDescent="0.2">
      <c r="A44" s="41" t="s">
        <v>21</v>
      </c>
      <c r="B44" s="35">
        <f>+'K-12 Educ'!G44*('Pop Data'!V44/'Pop Data'!X44)</f>
        <v>685805.68728286435</v>
      </c>
      <c r="C44" s="41">
        <v>0</v>
      </c>
      <c r="D44" s="35">
        <f>+'Head Start'!K44</f>
        <v>748.94474133380243</v>
      </c>
      <c r="E44" s="35">
        <f>+Medicaid!J44*'Low Income Pop'!I44</f>
        <v>77164.219056214541</v>
      </c>
      <c r="F44" s="35">
        <f>+CHIP!E44*'Low Income Pop'!I44</f>
        <v>8552.4210646954325</v>
      </c>
      <c r="G44" s="35">
        <f>+'Mental Health'!H44*'Pop Data'!AB44</f>
        <v>7883.8804488556689</v>
      </c>
      <c r="H44" s="35">
        <f>+Immunizations!E44*'Pop Data'!AB44</f>
        <v>4656.5980158055336</v>
      </c>
      <c r="I44" s="35">
        <f>+MCHBG!I44*'Pop Data'!AB44</f>
        <v>1255.105292282374</v>
      </c>
      <c r="J44" s="35">
        <f>+'Title IV-E'!V44</f>
        <v>3922.097986971577</v>
      </c>
      <c r="K44" s="35">
        <f>+'CW - State and Local Share'!D44*'Pop Data'!AB44</f>
        <v>10750.506531353927</v>
      </c>
      <c r="L44" s="35">
        <f>+'Child Care &amp; Dev Fd'!G44*'Child Care &amp; Dev Fd'!V44</f>
        <v>6132.7799999999988</v>
      </c>
      <c r="M44" s="35">
        <f>+'Title IV-B'!H44</f>
        <v>399.76209205256174</v>
      </c>
      <c r="N44" s="35">
        <f>+'Title IV-D'!E44*'Pop Data'!AB44</f>
        <v>5341.3952411972432</v>
      </c>
      <c r="O44" s="35">
        <f>+'Title XX'!F44*0.001</f>
        <v>2037.8856144380836</v>
      </c>
      <c r="P44" s="35">
        <f>+TANF!E44*TANF!AA44</f>
        <v>11586.84769629012</v>
      </c>
      <c r="Q44" s="35">
        <f>+Nutrition!AJ44</f>
        <v>47688.833097846582</v>
      </c>
      <c r="R44" s="41">
        <v>0</v>
      </c>
      <c r="S44" s="35">
        <f>+(+'Tax Credits'!O44*'Low Income Pop'!I44)+('Tax Credits'!P44*'Pop Data'!AB44)</f>
        <v>109892.37282307971</v>
      </c>
      <c r="T44" s="86">
        <f t="shared" si="1"/>
        <v>983819.33698528179</v>
      </c>
    </row>
    <row r="45" spans="1:20" x14ac:dyDescent="0.2">
      <c r="A45" s="41" t="s">
        <v>22</v>
      </c>
      <c r="B45" s="35">
        <f>+'K-12 Educ'!G45*('Pop Data'!V45/'Pop Data'!X45)</f>
        <v>4698035.8891313029</v>
      </c>
      <c r="C45" s="41">
        <v>0</v>
      </c>
      <c r="D45" s="35">
        <f>+'Head Start'!K45</f>
        <v>26.347035257949855</v>
      </c>
      <c r="E45" s="35">
        <f>+Medicaid!J45*'Low Income Pop'!I45</f>
        <v>862475.6682370248</v>
      </c>
      <c r="F45" s="35">
        <f>+CHIP!E45*'Low Income Pop'!I45</f>
        <v>84398.830535775953</v>
      </c>
      <c r="G45" s="35">
        <f>+'Mental Health'!H45*'Pop Data'!AB45</f>
        <v>71916.55206522964</v>
      </c>
      <c r="H45" s="35">
        <f>+Immunizations!E45*'Pop Data'!AB45</f>
        <v>32263.498205737422</v>
      </c>
      <c r="I45" s="35">
        <f>+MCHBG!I45*'Pop Data'!AB45</f>
        <v>9836.9235628507322</v>
      </c>
      <c r="J45" s="35">
        <f>+'Title IV-E'!V45</f>
        <v>22504.741550039624</v>
      </c>
      <c r="K45" s="35">
        <f>+'CW - State and Local Share'!D45*'Pop Data'!AB45</f>
        <v>98692.727091945475</v>
      </c>
      <c r="L45" s="35">
        <f>+'Child Care &amp; Dev Fd'!G45*'Child Care &amp; Dev Fd'!V45</f>
        <v>77477.599999999977</v>
      </c>
      <c r="M45" s="35">
        <f>+'Title IV-B'!H45</f>
        <v>5651.2839971976791</v>
      </c>
      <c r="N45" s="35">
        <f>+'Title IV-D'!E45*'Pop Data'!AB45</f>
        <v>57514.530793512255</v>
      </c>
      <c r="O45" s="35">
        <f>+'Title XX'!F45*0.001</f>
        <v>6698.7930814841575</v>
      </c>
      <c r="P45" s="35">
        <f>+TANF!E45*TANF!AA45</f>
        <v>131074.17378207191</v>
      </c>
      <c r="Q45" s="35">
        <f>+Nutrition!AJ45</f>
        <v>572847.298461725</v>
      </c>
      <c r="R45" s="41">
        <v>0</v>
      </c>
      <c r="S45" s="35">
        <f>+(+'Tax Credits'!O45*'Low Income Pop'!I45)+('Tax Credits'!P45*'Pop Data'!AB45)</f>
        <v>1030878.5003859572</v>
      </c>
      <c r="T45" s="86">
        <f t="shared" si="1"/>
        <v>7762293.3579171123</v>
      </c>
    </row>
    <row r="46" spans="1:20" x14ac:dyDescent="0.2">
      <c r="A46" s="41" t="s">
        <v>23</v>
      </c>
      <c r="B46" s="35">
        <f>+'K-12 Educ'!G46*('Pop Data'!V46/'Pop Data'!X46)</f>
        <v>24754116.845165074</v>
      </c>
      <c r="C46" s="41">
        <v>0</v>
      </c>
      <c r="D46" s="35">
        <f>+'Head Start'!K46</f>
        <v>4193.970354543354</v>
      </c>
      <c r="E46" s="35">
        <f>+Medicaid!J46*'Low Income Pop'!I46</f>
        <v>4018062.9123568214</v>
      </c>
      <c r="F46" s="35">
        <f>+CHIP!E46*'Low Income Pop'!I46</f>
        <v>408298.9857395658</v>
      </c>
      <c r="G46" s="35">
        <f>+'Mental Health'!H46*'Pop Data'!AB46</f>
        <v>49131.123006231981</v>
      </c>
      <c r="H46" s="35">
        <f>+Immunizations!E46*'Pop Data'!AB46</f>
        <v>163129.30500192125</v>
      </c>
      <c r="I46" s="35">
        <f>+MCHBG!I46*'Pop Data'!AB46</f>
        <v>30972.191899497811</v>
      </c>
      <c r="J46" s="35">
        <f>+'Title IV-E'!V46</f>
        <v>115282.90229727217</v>
      </c>
      <c r="K46" s="35">
        <f>+'CW - State and Local Share'!D46*'Pop Data'!AB46</f>
        <v>241203.60225456828</v>
      </c>
      <c r="L46" s="35">
        <f>+'Child Care &amp; Dev Fd'!G46*'Child Care &amp; Dev Fd'!V46</f>
        <v>250945.00999999995</v>
      </c>
      <c r="M46" s="35">
        <f>+'Title IV-B'!H46</f>
        <v>19227.167737915159</v>
      </c>
      <c r="N46" s="35">
        <f>+'Title IV-D'!E46*'Pop Data'!AB46</f>
        <v>213195.0750621382</v>
      </c>
      <c r="O46" s="35">
        <f>+'Title XX'!F46*0.001</f>
        <v>10939.044175162637</v>
      </c>
      <c r="P46" s="35">
        <f>+TANF!E46*TANF!AA46</f>
        <v>360347.42396803014</v>
      </c>
      <c r="Q46" s="35">
        <f>+Nutrition!AJ46</f>
        <v>1713853.2589637816</v>
      </c>
      <c r="R46" s="41">
        <v>0</v>
      </c>
      <c r="S46" s="35">
        <f>+(+'Tax Credits'!O46*'Low Income Pop'!I46)+('Tax Credits'!P46*'Pop Data'!AB46)</f>
        <v>4636687.0472639631</v>
      </c>
      <c r="T46" s="86">
        <f t="shared" si="1"/>
        <v>36989585.86524649</v>
      </c>
    </row>
    <row r="47" spans="1:20" x14ac:dyDescent="0.2">
      <c r="A47" s="41" t="s">
        <v>24</v>
      </c>
      <c r="B47" s="35">
        <f>+'K-12 Educ'!G47*('Pop Data'!V47/'Pop Data'!X47)</f>
        <v>2525071.296248504</v>
      </c>
      <c r="C47" s="41">
        <v>0</v>
      </c>
      <c r="D47" s="35">
        <f>+'Head Start'!K47</f>
        <v>276.80131304454534</v>
      </c>
      <c r="E47" s="35">
        <f>+Medicaid!J47*'Low Income Pop'!I47</f>
        <v>203555.18665201074</v>
      </c>
      <c r="F47" s="35">
        <f>+CHIP!E47*'Low Income Pop'!I47</f>
        <v>23629.349202137739</v>
      </c>
      <c r="G47" s="35">
        <f>+'Mental Health'!H47*'Pop Data'!AB47</f>
        <v>22407.876790493279</v>
      </c>
      <c r="H47" s="35">
        <f>+Immunizations!E47*'Pop Data'!AB47</f>
        <v>11513.147659354125</v>
      </c>
      <c r="I47" s="35">
        <f>+MCHBG!I47*'Pop Data'!AB47</f>
        <v>6884.5300780745347</v>
      </c>
      <c r="J47" s="35">
        <f>+'Title IV-E'!V47</f>
        <v>8046.536591707847</v>
      </c>
      <c r="K47" s="35">
        <f>+'CW - State and Local Share'!D47*'Pop Data'!AB47</f>
        <v>33971.365040789577</v>
      </c>
      <c r="L47" s="35">
        <f>+'Child Care &amp; Dev Fd'!G47*'Child Care &amp; Dev Fd'!V47</f>
        <v>31470</v>
      </c>
      <c r="M47" s="35">
        <f>+'Title IV-B'!H47</f>
        <v>1800.8215874337441</v>
      </c>
      <c r="N47" s="35">
        <f>+'Title IV-D'!E47*'Pop Data'!AB47</f>
        <v>22965.751246660933</v>
      </c>
      <c r="O47" s="35">
        <f>+'Title XX'!F47*0.001</f>
        <v>3898.2823384177304</v>
      </c>
      <c r="P47" s="35">
        <f>+TANF!E47*TANF!AA47</f>
        <v>38589.22584423676</v>
      </c>
      <c r="Q47" s="35">
        <f>+Nutrition!AJ47</f>
        <v>109890.66513917064</v>
      </c>
      <c r="R47" s="41">
        <v>0</v>
      </c>
      <c r="S47" s="35">
        <f>+(+'Tax Credits'!O47*'Low Income Pop'!I47)+('Tax Credits'!P47*'Pop Data'!AB47)</f>
        <v>450051.33711975632</v>
      </c>
      <c r="T47" s="86">
        <f t="shared" si="1"/>
        <v>3494022.1728517916</v>
      </c>
    </row>
    <row r="48" spans="1:20" x14ac:dyDescent="0.2">
      <c r="A48" s="41" t="s">
        <v>25</v>
      </c>
      <c r="B48" s="35">
        <f>+'K-12 Educ'!G48*('Pop Data'!V48/'Pop Data'!X48)</f>
        <v>770864.15495045483</v>
      </c>
      <c r="C48" s="41">
        <v>0</v>
      </c>
      <c r="D48" s="35">
        <f>+'Head Start'!K48</f>
        <v>485.46650775594628</v>
      </c>
      <c r="E48" s="35">
        <f>+Medicaid!J48*'Low Income Pop'!I48</f>
        <v>144408.73114795919</v>
      </c>
      <c r="F48" s="35">
        <f>+CHIP!E48*'Low Income Pop'!I48</f>
        <v>3193.7925170068029</v>
      </c>
      <c r="G48" s="35">
        <f>+'Mental Health'!H48*'Pop Data'!AB48</f>
        <v>29159.541414710136</v>
      </c>
      <c r="H48" s="35">
        <f>+Immunizations!E48*'Pop Data'!AB48</f>
        <v>3424.4874722107929</v>
      </c>
      <c r="I48" s="35">
        <f>+MCHBG!I48*'Pop Data'!AB48</f>
        <v>1259.7227994530097</v>
      </c>
      <c r="J48" s="35">
        <f>+'Title IV-E'!V48</f>
        <v>4761.2431831530193</v>
      </c>
      <c r="K48" s="35">
        <f>+'CW - State and Local Share'!D48*'Pop Data'!AB48</f>
        <v>14174.148235996483</v>
      </c>
      <c r="L48" s="35">
        <f>+'Child Care &amp; Dev Fd'!G48*'Child Care &amp; Dev Fd'!V48</f>
        <v>10936.8</v>
      </c>
      <c r="M48" s="35">
        <f>+'Title IV-B'!H48</f>
        <v>373.50136842913139</v>
      </c>
      <c r="N48" s="35">
        <f>+'Title IV-D'!E48*'Pop Data'!AB48</f>
        <v>8962.9056239965794</v>
      </c>
      <c r="O48" s="35">
        <f>+'Title XX'!F48*0.001</f>
        <v>2009.9187401229101</v>
      </c>
      <c r="P48" s="35">
        <f>+TANF!E48*TANF!AA48</f>
        <v>25516.691885630844</v>
      </c>
      <c r="Q48" s="35">
        <f>+Nutrition!AJ48</f>
        <v>39721.055077352059</v>
      </c>
      <c r="R48" s="41">
        <v>0</v>
      </c>
      <c r="S48" s="35">
        <f>+(+'Tax Credits'!O48*'Low Income Pop'!I48)+('Tax Credits'!P48*'Pop Data'!AB48)</f>
        <v>75276.981728826475</v>
      </c>
      <c r="T48" s="86">
        <f t="shared" si="1"/>
        <v>1134529.1426530581</v>
      </c>
    </row>
    <row r="49" spans="1:20" x14ac:dyDescent="0.2">
      <c r="A49" s="41" t="s">
        <v>26</v>
      </c>
      <c r="B49" s="35">
        <f>+'K-12 Educ'!G49*('Pop Data'!V49/'Pop Data'!X49)</f>
        <v>7696277.5452478305</v>
      </c>
      <c r="C49" s="41">
        <v>0</v>
      </c>
      <c r="D49" s="35">
        <f>+'Head Start'!K49</f>
        <v>910.26267799519394</v>
      </c>
      <c r="E49" s="35">
        <f>+Medicaid!J49*'Low Income Pop'!I49</f>
        <v>636723.02543501416</v>
      </c>
      <c r="F49" s="35">
        <f>+CHIP!E49*'Low Income Pop'!I49</f>
        <v>90259.943563799083</v>
      </c>
      <c r="G49" s="35">
        <f>+'Mental Health'!H49*'Pop Data'!AB49</f>
        <v>49580.152763863633</v>
      </c>
      <c r="H49" s="35">
        <f>+Immunizations!E49*'Pop Data'!AB49</f>
        <v>26920.872579474639</v>
      </c>
      <c r="I49" s="35">
        <f>+MCHBG!I49*'Pop Data'!AB49</f>
        <v>7825.9726299028889</v>
      </c>
      <c r="J49" s="35">
        <f>+'Title IV-E'!V49</f>
        <v>28864.691769225261</v>
      </c>
      <c r="K49" s="35">
        <f>+'CW - State and Local Share'!D49*'Pop Data'!AB49</f>
        <v>193001.79621992775</v>
      </c>
      <c r="L49" s="35">
        <f>+'Child Care &amp; Dev Fd'!G49*'Child Care &amp; Dev Fd'!V49</f>
        <v>77854.919999999984</v>
      </c>
      <c r="M49" s="35">
        <f>+'Title IV-B'!H49</f>
        <v>4453.0435251812814</v>
      </c>
      <c r="N49" s="35">
        <f>+'Title IV-D'!E49*'Pop Data'!AB49</f>
        <v>63097.634415644221</v>
      </c>
      <c r="O49" s="35">
        <f>+'Title XX'!F49*0.001</f>
        <v>12299.556566617543</v>
      </c>
      <c r="P49" s="35">
        <f>+TANF!E49*TANF!AA49</f>
        <v>107695.16543180896</v>
      </c>
      <c r="Q49" s="35">
        <f>+Nutrition!AJ49</f>
        <v>330005.91360728053</v>
      </c>
      <c r="R49" s="41">
        <v>0</v>
      </c>
      <c r="S49" s="35">
        <f>+(+'Tax Credits'!O49*'Low Income Pop'!I49)+('Tax Credits'!P49*'Pop Data'!AB49)</f>
        <v>1088302.1386530292</v>
      </c>
      <c r="T49" s="86">
        <f t="shared" si="1"/>
        <v>10414072.635086596</v>
      </c>
    </row>
    <row r="50" spans="1:20" x14ac:dyDescent="0.2">
      <c r="A50" s="41" t="s">
        <v>27</v>
      </c>
      <c r="B50" s="35">
        <f>+'K-12 Educ'!G50*('Pop Data'!V50/'Pop Data'!X50)</f>
        <v>6118129.970997693</v>
      </c>
      <c r="C50" s="41">
        <v>0</v>
      </c>
      <c r="D50" s="35">
        <f>+'Head Start'!K50</f>
        <v>1654.26734997784</v>
      </c>
      <c r="E50" s="35">
        <f>+Medicaid!J50*'Low Income Pop'!I50</f>
        <v>732074.43874411331</v>
      </c>
      <c r="F50" s="35">
        <f>+CHIP!E50*'Low Income Pop'!I50</f>
        <v>23894.774542160772</v>
      </c>
      <c r="G50" s="35">
        <f>+'Mental Health'!H50*'Pop Data'!AB50</f>
        <v>62407.903743732059</v>
      </c>
      <c r="H50" s="35">
        <f>+Immunizations!E50*'Pop Data'!AB50</f>
        <v>43457.472315178806</v>
      </c>
      <c r="I50" s="35">
        <f>+MCHBG!I50*'Pop Data'!AB50</f>
        <v>6145.8616674214672</v>
      </c>
      <c r="J50" s="35">
        <f>+'Title IV-E'!V50</f>
        <v>40866.314659544332</v>
      </c>
      <c r="K50" s="35">
        <f>+'CW - State and Local Share'!D50*'Pop Data'!AB50</f>
        <v>106473.11782516609</v>
      </c>
      <c r="L50" s="35">
        <f>+'Child Care &amp; Dev Fd'!G50*'Child Care &amp; Dev Fd'!V50</f>
        <v>126248.57999999999</v>
      </c>
      <c r="M50" s="35">
        <f>+'Title IV-B'!H50</f>
        <v>3880.2700556190616</v>
      </c>
      <c r="N50" s="35">
        <f>+'Title IV-D'!E50*'Pop Data'!AB50</f>
        <v>88684.264684375143</v>
      </c>
      <c r="O50" s="35">
        <f>+'Title XX'!F50*0.001</f>
        <v>13310.085415120337</v>
      </c>
      <c r="P50" s="35">
        <f>+TANF!E50*TANF!AA50</f>
        <v>347538.32493091596</v>
      </c>
      <c r="Q50" s="35">
        <f>+Nutrition!AJ50</f>
        <v>464681.51197878411</v>
      </c>
      <c r="R50" s="41">
        <v>0</v>
      </c>
      <c r="S50" s="35">
        <f>+(+'Tax Credits'!O50*'Low Income Pop'!I50)+('Tax Credits'!P50*'Pop Data'!AB50)</f>
        <v>791613.86329311994</v>
      </c>
      <c r="T50" s="86">
        <f t="shared" si="1"/>
        <v>8971061.0222029239</v>
      </c>
    </row>
    <row r="51" spans="1:20" x14ac:dyDescent="0.2">
      <c r="A51" s="41" t="s">
        <v>28</v>
      </c>
      <c r="B51" s="35">
        <f>+'K-12 Educ'!G51*('Pop Data'!V51/'Pop Data'!X51)</f>
        <v>1690432.766573976</v>
      </c>
      <c r="C51" s="41">
        <v>0</v>
      </c>
      <c r="D51" s="35">
        <f>+'Head Start'!K51</f>
        <v>216.31475522990337</v>
      </c>
      <c r="E51" s="35">
        <f>+Medicaid!J51*'Low Income Pop'!I51</f>
        <v>197473.81298161298</v>
      </c>
      <c r="F51" s="35">
        <f>+CHIP!E51*'Low Income Pop'!I51</f>
        <v>17578.805441082128</v>
      </c>
      <c r="G51" s="35">
        <f>+'Mental Health'!H51*'Pop Data'!AB51</f>
        <v>2197.6764355466553</v>
      </c>
      <c r="H51" s="35">
        <f>+Immunizations!E51*'Pop Data'!AB51</f>
        <v>8383.70846643197</v>
      </c>
      <c r="I51" s="35">
        <f>+MCHBG!I51*'Pop Data'!AB51</f>
        <v>6192.3046815235875</v>
      </c>
      <c r="J51" s="35">
        <f>+'Title IV-E'!V51</f>
        <v>13804.928560903652</v>
      </c>
      <c r="K51" s="35">
        <f>+'CW - State and Local Share'!D51*'Pop Data'!AB51</f>
        <v>53404.74496733422</v>
      </c>
      <c r="L51" s="35">
        <f>+'Child Care &amp; Dev Fd'!G51*'Child Care &amp; Dev Fd'!V51</f>
        <v>18678.879999999997</v>
      </c>
      <c r="M51" s="35">
        <f>+'Title IV-B'!H51</f>
        <v>1496.6306389438939</v>
      </c>
      <c r="N51" s="35">
        <f>+'Title IV-D'!E51*'Pop Data'!AB51</f>
        <v>27483.512585895776</v>
      </c>
      <c r="O51" s="35">
        <f>+'Title XX'!F51*0.001</f>
        <v>5581.3377824233476</v>
      </c>
      <c r="P51" s="35">
        <f>+TANF!E51*TANF!AA51</f>
        <v>51566.183842336461</v>
      </c>
      <c r="Q51" s="35">
        <f>+Nutrition!AJ51</f>
        <v>130152.10756408202</v>
      </c>
      <c r="R51" s="41">
        <v>0</v>
      </c>
      <c r="S51" s="35">
        <f>+(+'Tax Credits'!O51*'Low Income Pop'!I51)+('Tax Credits'!P51*'Pop Data'!AB51)</f>
        <v>213799.568011892</v>
      </c>
      <c r="T51" s="86">
        <f t="shared" si="1"/>
        <v>2438443.2832892151</v>
      </c>
    </row>
    <row r="52" spans="1:20" x14ac:dyDescent="0.2">
      <c r="A52" s="41" t="s">
        <v>29</v>
      </c>
      <c r="B52" s="35">
        <f>+'K-12 Educ'!G52*('Pop Data'!V52/'Pop Data'!X52)</f>
        <v>5267174.0041898666</v>
      </c>
      <c r="C52" s="41">
        <v>0</v>
      </c>
      <c r="D52" s="35">
        <f>+'Head Start'!K52</f>
        <v>948.13670044815638</v>
      </c>
      <c r="E52" s="35">
        <f>+Medicaid!J52*'Low Income Pop'!I52</f>
        <v>369184.14962868573</v>
      </c>
      <c r="F52" s="35">
        <f>+CHIP!E52*'Low Income Pop'!I52</f>
        <v>42784.588462159241</v>
      </c>
      <c r="G52" s="35">
        <f>+'Mental Health'!H52*'Pop Data'!AB52</f>
        <v>8086.8304944245856</v>
      </c>
      <c r="H52" s="35">
        <f>+Immunizations!E52*'Pop Data'!AB52</f>
        <v>21562.791626598319</v>
      </c>
      <c r="I52" s="35">
        <f>+MCHBG!I52*'Pop Data'!AB52</f>
        <v>7123.8888066717418</v>
      </c>
      <c r="J52" s="35">
        <f>+'Title IV-E'!V52</f>
        <v>36414.824498231195</v>
      </c>
      <c r="K52" s="35">
        <f>+'CW - State and Local Share'!D52*'Pop Data'!AB52</f>
        <v>112264.20848130289</v>
      </c>
      <c r="L52" s="35">
        <f>+'Child Care &amp; Dev Fd'!G52*'Child Care &amp; Dev Fd'!V52</f>
        <v>79960.01999999999</v>
      </c>
      <c r="M52" s="35">
        <f>+'Title IV-B'!H52</f>
        <v>3445.3785457229319</v>
      </c>
      <c r="N52" s="35">
        <f>+'Title IV-D'!E52*'Pop Data'!AB52</f>
        <v>66032.990326794214</v>
      </c>
      <c r="O52" s="35">
        <f>+'Title XX'!F52*0.001</f>
        <v>8665.8652423490512</v>
      </c>
      <c r="P52" s="35">
        <f>+TANF!E52*TANF!AA52</f>
        <v>191857.60539201158</v>
      </c>
      <c r="Q52" s="35">
        <f>+Nutrition!AJ52</f>
        <v>322873.70782470325</v>
      </c>
      <c r="R52" s="41">
        <v>0</v>
      </c>
      <c r="S52" s="35">
        <f>+(+'Tax Credits'!O52*'Low Income Pop'!I52)+('Tax Credits'!P52*'Pop Data'!AB52)</f>
        <v>705744.64099829388</v>
      </c>
      <c r="T52" s="86">
        <f t="shared" si="1"/>
        <v>7244123.6312182629</v>
      </c>
    </row>
    <row r="53" spans="1:20" x14ac:dyDescent="0.2">
      <c r="A53" s="41" t="s">
        <v>30</v>
      </c>
      <c r="B53" s="35">
        <f>+'K-12 Educ'!G53*('Pop Data'!V53/'Pop Data'!X53)</f>
        <v>898066.18528108927</v>
      </c>
      <c r="C53" s="41">
        <v>0</v>
      </c>
      <c r="D53" s="35">
        <f>+'Head Start'!K53</f>
        <v>91.526699118589747</v>
      </c>
      <c r="E53" s="35">
        <f>+Medicaid!J53*'Low Income Pop'!I53</f>
        <v>49062.268933879153</v>
      </c>
      <c r="F53" s="35">
        <f>+CHIP!E53*'Low Income Pop'!I53</f>
        <v>5598.3225060069417</v>
      </c>
      <c r="G53" s="35">
        <f>+'Mental Health'!H53*'Pop Data'!AB53</f>
        <v>587.96549496110924</v>
      </c>
      <c r="H53" s="35">
        <f>+Immunizations!E53*'Pop Data'!AB53</f>
        <v>2972.4106086796073</v>
      </c>
      <c r="I53" s="35">
        <f>+MCHBG!I53*'Pop Data'!AB53</f>
        <v>1080.8866024060817</v>
      </c>
      <c r="J53" s="35">
        <f>+'Title IV-E'!V53</f>
        <v>1285.1648222009005</v>
      </c>
      <c r="K53" s="35">
        <f>+'CW - State and Local Share'!D53*'Pop Data'!AB53</f>
        <v>10504.028422761827</v>
      </c>
      <c r="L53" s="35">
        <f>+'Child Care &amp; Dev Fd'!G53*'Child Care &amp; Dev Fd'!V53</f>
        <v>7288.6299999999992</v>
      </c>
      <c r="M53" s="35">
        <f>+'Title IV-B'!H53</f>
        <v>0</v>
      </c>
      <c r="N53" s="35">
        <f>+'Title IV-D'!E53*'Pop Data'!AB53</f>
        <v>6402.534127979925</v>
      </c>
      <c r="O53" s="35">
        <f>+'Title XX'!F53*0.001</f>
        <v>1694.0788379305866</v>
      </c>
      <c r="P53" s="35">
        <f>+TANF!E53*TANF!AA53</f>
        <v>12446.022672979287</v>
      </c>
      <c r="Q53" s="35">
        <f>+Nutrition!AJ53</f>
        <v>16929.90096238381</v>
      </c>
      <c r="R53" s="41">
        <v>0</v>
      </c>
      <c r="S53" s="35">
        <f>+(+'Tax Credits'!O53*'Low Income Pop'!I53)+('Tax Credits'!P53*'Pop Data'!AB53)</f>
        <v>72697.78967011538</v>
      </c>
      <c r="T53" s="86">
        <f t="shared" si="1"/>
        <v>1086707.7156424925</v>
      </c>
    </row>
    <row r="54" spans="1:20" ht="16" thickBot="1" x14ac:dyDescent="0.25"/>
    <row r="55" spans="1:20" ht="17" thickTop="1" thickBot="1" x14ac:dyDescent="0.25">
      <c r="A55" s="85" t="s">
        <v>39</v>
      </c>
      <c r="B55" s="83">
        <f>SUM(B4:B54)</f>
        <v>299055079.72771168</v>
      </c>
      <c r="C55" s="83">
        <f t="shared" ref="C55:T55" si="2">SUM(C4:C54)</f>
        <v>0</v>
      </c>
      <c r="D55" s="83">
        <f t="shared" si="2"/>
        <v>100897.6890803401</v>
      </c>
      <c r="E55" s="83">
        <f t="shared" si="2"/>
        <v>34783692.492010333</v>
      </c>
      <c r="F55" s="83">
        <f t="shared" si="2"/>
        <v>3988751.8824182632</v>
      </c>
      <c r="G55" s="83">
        <f t="shared" si="2"/>
        <v>4183282.1021504719</v>
      </c>
      <c r="H55" s="83">
        <f t="shared" si="2"/>
        <v>1543047.6988417853</v>
      </c>
      <c r="I55" s="83">
        <f t="shared" si="2"/>
        <v>981549.83956407139</v>
      </c>
      <c r="J55" s="83">
        <f t="shared" si="2"/>
        <v>2122679.3394918456</v>
      </c>
      <c r="K55" s="83">
        <f t="shared" si="2"/>
        <v>5876229.2094705207</v>
      </c>
      <c r="L55" s="83">
        <f t="shared" si="2"/>
        <v>3588986.9699999993</v>
      </c>
      <c r="M55" s="83">
        <f t="shared" si="2"/>
        <v>202766.88485091674</v>
      </c>
      <c r="N55" s="83">
        <f t="shared" si="2"/>
        <v>3672457.5089865043</v>
      </c>
      <c r="O55" s="83">
        <f t="shared" si="2"/>
        <v>567249.18108458456</v>
      </c>
      <c r="P55" s="83">
        <f t="shared" si="2"/>
        <v>10685964.212436352</v>
      </c>
      <c r="Q55" s="83">
        <f t="shared" si="2"/>
        <v>20817470.666218854</v>
      </c>
      <c r="R55" s="83">
        <f t="shared" si="2"/>
        <v>0</v>
      </c>
      <c r="S55" s="83">
        <f t="shared" si="2"/>
        <v>45565846.927076712</v>
      </c>
      <c r="T55" s="84">
        <f t="shared" si="2"/>
        <v>437735952.3313933</v>
      </c>
    </row>
    <row r="56" spans="1:20" ht="16" thickTop="1" x14ac:dyDescent="0.2">
      <c r="S56" s="6"/>
    </row>
  </sheetData>
  <sortState ref="A4:W53">
    <sortCondition ref="A4:A53"/>
  </sortState>
  <phoneticPr fontId="8" type="noConversion"/>
  <printOptions horizontalCentered="1" verticalCentered="1"/>
  <pageMargins left="0.7" right="0.7" top="0.75" bottom="0.75" header="0.3" footer="0.3"/>
  <pageSetup paperSize="5" scale="55" orientation="landscape"/>
  <headerFooter>
    <oddHeader>&amp;C&amp;"-,Bold"&amp;18Public Spending for Children and their Families - Ages 5 to 1 1</oddHeader>
    <oddFooter>&amp;L&amp;D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tabColor rgb="FF00B050"/>
    <pageSetUpPr fitToPage="1"/>
  </sheetPr>
  <dimension ref="A1:T56"/>
  <sheetViews>
    <sheetView topLeftCell="I38" workbookViewId="0">
      <selection activeCell="T55" sqref="T55"/>
    </sheetView>
  </sheetViews>
  <sheetFormatPr baseColWidth="10" defaultColWidth="8.83203125" defaultRowHeight="15" x14ac:dyDescent="0.2"/>
  <cols>
    <col min="1" max="1" width="14.6640625" customWidth="1"/>
    <col min="2" max="20" width="12.6640625" customWidth="1"/>
    <col min="21" max="21" width="5.1640625" customWidth="1"/>
  </cols>
  <sheetData>
    <row r="1" spans="1:20" s="119" customFormat="1" ht="120" customHeight="1" thickBot="1" x14ac:dyDescent="0.25">
      <c r="A1" s="115"/>
      <c r="B1" s="116" t="str">
        <f>+Summary!B1</f>
        <v>K-12 Educ</v>
      </c>
      <c r="C1" s="116" t="str">
        <f>+Summary!C1</f>
        <v>Preschool</v>
      </c>
      <c r="D1" s="116" t="str">
        <f>+Summary!D1</f>
        <v>Head Start &amp; Early Intervention</v>
      </c>
      <c r="E1" s="116" t="str">
        <f>+Summary!E1</f>
        <v>Medicaid (including costs of disabled children)</v>
      </c>
      <c r="F1" s="116" t="str">
        <f>+Summary!F1</f>
        <v>CHIP</v>
      </c>
      <c r="G1" s="116" t="str">
        <f>+Summary!G1</f>
        <v>Mental Health Programs</v>
      </c>
      <c r="H1" s="116" t="str">
        <f>+Summary!H1</f>
        <v>Immun-izations</v>
      </c>
      <c r="I1" s="116" t="str">
        <f>+Summary!I1</f>
        <v>Maternal &amp; Child Health Block Grant</v>
      </c>
      <c r="J1" s="116" t="str">
        <f>+Summary!J1</f>
        <v>Foster Care, Adoption Assistance, Guardianship (Title IV-E)</v>
      </c>
      <c r="K1" s="116" t="str">
        <f>+Summary!K1</f>
        <v xml:space="preserve">Child Welfare State and Local Share </v>
      </c>
      <c r="L1" s="116" t="str">
        <f>+Summary!L1</f>
        <v>Child Care &amp; Dev Fund</v>
      </c>
      <c r="M1" s="116" t="str">
        <f>+Summary!M1</f>
        <v>Child Welfare Services &amp; Promoting Safe and Stable Families           Title IV-B</v>
      </c>
      <c r="N1" s="116" t="str">
        <f>+Summary!N1</f>
        <v>Child Support Enforcement    Title IV-D</v>
      </c>
      <c r="O1" s="116" t="str">
        <f>+Summary!O1</f>
        <v>Child Welfare - TITLE XX</v>
      </c>
      <c r="P1" s="116" t="str">
        <f>+Summary!P1</f>
        <v>TANF</v>
      </c>
      <c r="Q1" s="116" t="str">
        <f>+Summary!Q1</f>
        <v>Nutrition (SNAP, WIC, CACFP)</v>
      </c>
      <c r="R1" s="116" t="str">
        <f>+Summary!R1</f>
        <v>Juvenile Justice</v>
      </c>
      <c r="S1" s="116" t="str">
        <f>+Summary!S1</f>
        <v>Tax Credits</v>
      </c>
      <c r="T1" s="116" t="str">
        <f>+Summary!T1</f>
        <v>Total</v>
      </c>
    </row>
    <row r="4" spans="1:20" x14ac:dyDescent="0.2">
      <c r="A4" s="41" t="s">
        <v>109</v>
      </c>
      <c r="B4" s="35">
        <f>+'K-12 Educ'!G4*('Pop Data'!W4/'Pop Data'!X4)</f>
        <v>3215995.4029739425</v>
      </c>
      <c r="C4" s="41">
        <v>0</v>
      </c>
      <c r="D4" s="41">
        <v>0</v>
      </c>
      <c r="E4" s="35">
        <f>+Medicaid!J4*'Low Income Pop'!J4</f>
        <v>431482.25788789638</v>
      </c>
      <c r="F4" s="35">
        <f>+CHIP!E4*'Low Income Pop'!J4</f>
        <v>56222.817316187298</v>
      </c>
      <c r="G4" s="35">
        <f>+'Mental Health'!H4*'Pop Data'!AC4</f>
        <v>21877.66276395879</v>
      </c>
      <c r="H4" s="35">
        <f>+Immunizations!E4*'Pop Data'!AC4</f>
        <v>22142.567859310606</v>
      </c>
      <c r="I4" s="35">
        <f>+MCHBG!I4*'Pop Data'!AC4</f>
        <v>12320.273012844116</v>
      </c>
      <c r="J4" s="35">
        <f>+'Title IV-E'!W4</f>
        <v>15240.867742662347</v>
      </c>
      <c r="K4" s="35">
        <f>+'CW - State and Local Share'!D4*'Pop Data'!AC4</f>
        <v>47871.893903091943</v>
      </c>
      <c r="L4" s="41">
        <v>0</v>
      </c>
      <c r="M4" s="35">
        <f>+'Title IV-B'!I4</f>
        <v>4457.6187810132642</v>
      </c>
      <c r="N4" s="35">
        <f>+'Title IV-D'!E4*'Pop Data'!AC4</f>
        <v>38576.440524152313</v>
      </c>
      <c r="O4" s="35">
        <f>+'Title XX'!G4*0.001</f>
        <v>4572.4855347698049</v>
      </c>
      <c r="P4" s="35">
        <f>+TANF!E4*TANF!AB4</f>
        <v>35194.136999999995</v>
      </c>
      <c r="Q4" s="35">
        <f>+Nutrition!AK4</f>
        <v>302921.17846618016</v>
      </c>
      <c r="R4" s="35">
        <f>+'Juvenile Justice'!H4</f>
        <v>62376.91</v>
      </c>
      <c r="S4" s="35">
        <f>+(+'Tax Credits'!O4*'Low Income Pop'!J4)+('Tax Credits'!P4*'Pop Data'!AC4)</f>
        <v>726174.16910585249</v>
      </c>
      <c r="T4" s="86">
        <f t="shared" ref="T4:T35" si="0">SUM(B4:S4)</f>
        <v>4997426.6828718614</v>
      </c>
    </row>
    <row r="5" spans="1:20" x14ac:dyDescent="0.2">
      <c r="A5" s="41" t="s">
        <v>110</v>
      </c>
      <c r="B5" s="35">
        <f>+'K-12 Educ'!G5*('Pop Data'!W5/'Pop Data'!X5)</f>
        <v>1113435.5294095033</v>
      </c>
      <c r="C5" s="41">
        <v>0</v>
      </c>
      <c r="D5" s="41">
        <v>0</v>
      </c>
      <c r="E5" s="35">
        <f>+Medicaid!J5*'Low Income Pop'!J5</f>
        <v>119237.98068249025</v>
      </c>
      <c r="F5" s="35">
        <f>+CHIP!E5*'Low Income Pop'!J5</f>
        <v>8036.4824902723731</v>
      </c>
      <c r="G5" s="35">
        <f>+'Mental Health'!H5*'Pop Data'!AC5</f>
        <v>34318.890591313357</v>
      </c>
      <c r="H5" s="35">
        <f>+Immunizations!E5*'Pop Data'!AC5</f>
        <v>5220.497074131481</v>
      </c>
      <c r="I5" s="35">
        <f>+MCHBG!I5*'Pop Data'!AC5</f>
        <v>4976.7565043292352</v>
      </c>
      <c r="J5" s="35">
        <f>+'Title IV-E'!W5</f>
        <v>6418.6955195082828</v>
      </c>
      <c r="K5" s="35">
        <f>+'CW - State and Local Share'!D5*'Pop Data'!AC5</f>
        <v>34175.608305718866</v>
      </c>
      <c r="L5" s="41">
        <v>0</v>
      </c>
      <c r="M5" s="35">
        <f>+'Title IV-B'!I5</f>
        <v>253.22885088188133</v>
      </c>
      <c r="N5" s="35">
        <f>+'Title IV-D'!E5*'Pop Data'!AC5</f>
        <v>15401.346178514163</v>
      </c>
      <c r="O5" s="35">
        <f>+'Title XX'!G5*0.001</f>
        <v>6175.8022403501946</v>
      </c>
      <c r="P5" s="35">
        <f>+TANF!E5*TANF!AB5</f>
        <v>18340.365000000002</v>
      </c>
      <c r="Q5" s="35">
        <f>+Nutrition!AK5</f>
        <v>42354.679903421304</v>
      </c>
      <c r="R5" s="35">
        <f>+'Juvenile Justice'!H5</f>
        <v>34961.273999999998</v>
      </c>
      <c r="S5" s="35">
        <f>+(+'Tax Credits'!O5*'Low Income Pop'!J5)+('Tax Credits'!P5*'Pop Data'!AC5)</f>
        <v>70887.985868269941</v>
      </c>
      <c r="T5" s="86">
        <f t="shared" si="0"/>
        <v>1514195.1226187043</v>
      </c>
    </row>
    <row r="6" spans="1:20" x14ac:dyDescent="0.2">
      <c r="A6" s="41" t="s">
        <v>111</v>
      </c>
      <c r="B6" s="35">
        <f>+'K-12 Educ'!G6*('Pop Data'!W6/'Pop Data'!X6)</f>
        <v>4021918.8060195604</v>
      </c>
      <c r="C6" s="41">
        <v>0</v>
      </c>
      <c r="D6" s="41">
        <v>0</v>
      </c>
      <c r="E6" s="35">
        <f>+Medicaid!J6*'Low Income Pop'!J6</f>
        <v>552377.65833503311</v>
      </c>
      <c r="F6" s="35">
        <f>+CHIP!E6*'Low Income Pop'!J6</f>
        <v>9400.4051354409694</v>
      </c>
      <c r="G6" s="35">
        <f>+'Mental Health'!H6*'Pop Data'!AC6</f>
        <v>144516.2267242645</v>
      </c>
      <c r="H6" s="35">
        <f>+Immunizations!E6*'Pop Data'!AC6</f>
        <v>31111.570654298182</v>
      </c>
      <c r="I6" s="35">
        <f>+MCHBG!I6*'Pop Data'!AC6</f>
        <v>4576.937237371475</v>
      </c>
      <c r="J6" s="35">
        <f>+'Title IV-E'!W6</f>
        <v>35682.213922676005</v>
      </c>
      <c r="K6" s="35">
        <f>+'CW - State and Local Share'!D6*'Pop Data'!AC6</f>
        <v>58764.470767366649</v>
      </c>
      <c r="L6" s="41">
        <v>0</v>
      </c>
      <c r="M6" s="35">
        <f>+'Title IV-B'!I6</f>
        <v>4325.1846508358967</v>
      </c>
      <c r="N6" s="35">
        <f>+'Title IV-D'!E6*'Pop Data'!AC6</f>
        <v>35580.684140974052</v>
      </c>
      <c r="O6" s="35">
        <f>+'Title XX'!G6*0.001</f>
        <v>12260.0981543541</v>
      </c>
      <c r="P6" s="35">
        <f>+TANF!E6*TANF!AB6</f>
        <v>85710.122000000018</v>
      </c>
      <c r="Q6" s="35">
        <f>+Nutrition!AK6</f>
        <v>423655.48054321168</v>
      </c>
      <c r="R6" s="35">
        <f>+'Juvenile Justice'!H6</f>
        <v>101658.728</v>
      </c>
      <c r="S6" s="35">
        <f>+(+'Tax Credits'!O6*'Low Income Pop'!J6)+('Tax Credits'!P6*'Pop Data'!AC6)</f>
        <v>868457.22797159059</v>
      </c>
      <c r="T6" s="86">
        <f t="shared" si="0"/>
        <v>6389995.8142569773</v>
      </c>
    </row>
    <row r="7" spans="1:20" x14ac:dyDescent="0.2">
      <c r="A7" s="41" t="s">
        <v>112</v>
      </c>
      <c r="B7" s="35">
        <f>+'K-12 Educ'!G7*('Pop Data'!W7/'Pop Data'!X7)</f>
        <v>2320541.111638085</v>
      </c>
      <c r="C7" s="41">
        <v>0</v>
      </c>
      <c r="D7" s="41">
        <v>0</v>
      </c>
      <c r="E7" s="35">
        <f>+Medicaid!J7*'Low Income Pop'!J7</f>
        <v>346690.09488931298</v>
      </c>
      <c r="F7" s="35">
        <f>+CHIP!E7*'Low Income Pop'!J7</f>
        <v>35598.106373705647</v>
      </c>
      <c r="G7" s="35">
        <f>+'Mental Health'!H7*'Pop Data'!AC7</f>
        <v>5475.9527685317507</v>
      </c>
      <c r="H7" s="35">
        <f>+Immunizations!E7*'Pop Data'!AC7</f>
        <v>14979.775233373799</v>
      </c>
      <c r="I7" s="35">
        <f>+MCHBG!I7*'Pop Data'!AC7</f>
        <v>4281.0022334258474</v>
      </c>
      <c r="J7" s="35">
        <f>+'Title IV-E'!W7</f>
        <v>13268.950872970296</v>
      </c>
      <c r="K7" s="35">
        <f>+'CW - State and Local Share'!D7*'Pop Data'!AC7</f>
        <v>20617.65102457373</v>
      </c>
      <c r="L7" s="41">
        <v>0</v>
      </c>
      <c r="M7" s="35">
        <f>+'Title IV-B'!I7</f>
        <v>2270.8287196394331</v>
      </c>
      <c r="N7" s="35">
        <f>+'Title IV-D'!E7*'Pop Data'!AC7</f>
        <v>28035.67194509348</v>
      </c>
      <c r="O7" s="35">
        <f>+'Title XX'!G7*0.001</f>
        <v>1813.3298488141988</v>
      </c>
      <c r="P7" s="35">
        <f>+TANF!E7*TANF!AB7</f>
        <v>35442.784999999996</v>
      </c>
      <c r="Q7" s="35">
        <f>+Nutrition!AK7</f>
        <v>172648.75676963021</v>
      </c>
      <c r="R7" s="35">
        <f>+'Juvenile Justice'!H7</f>
        <v>83251.873999999996</v>
      </c>
      <c r="S7" s="35">
        <f>+(+'Tax Credits'!O7*'Low Income Pop'!J7)+('Tax Credits'!P7*'Pop Data'!AC7)</f>
        <v>410592.87060322554</v>
      </c>
      <c r="T7" s="86">
        <f t="shared" si="0"/>
        <v>3495508.7619203818</v>
      </c>
    </row>
    <row r="8" spans="1:20" x14ac:dyDescent="0.2">
      <c r="A8" s="41" t="s">
        <v>113</v>
      </c>
      <c r="B8" s="35">
        <f>+'K-12 Educ'!G8*('Pop Data'!W8/'Pop Data'!X8)</f>
        <v>29653361.529860061</v>
      </c>
      <c r="C8" s="41">
        <v>0</v>
      </c>
      <c r="D8" s="41">
        <v>0</v>
      </c>
      <c r="E8" s="35">
        <f>+Medicaid!J8*'Low Income Pop'!J8</f>
        <v>4039253.5183593216</v>
      </c>
      <c r="F8" s="35">
        <f>+CHIP!E8*'Low Income Pop'!J8</f>
        <v>605202.52665439982</v>
      </c>
      <c r="G8" s="35">
        <f>+'Mental Health'!H8*'Pop Data'!AC8</f>
        <v>763807.71955591557</v>
      </c>
      <c r="H8" s="35">
        <f>+Immunizations!E8*'Pop Data'!AC8</f>
        <v>196946.26908806837</v>
      </c>
      <c r="I8" s="35">
        <f>+MCHBG!I8*'Pop Data'!AC8</f>
        <v>356441.79868040531</v>
      </c>
      <c r="J8" s="35">
        <f>+'Title IV-E'!W8</f>
        <v>428978.20620174031</v>
      </c>
      <c r="K8" s="35">
        <f>+'CW - State and Local Share'!D8*'Pop Data'!AC8</f>
        <v>613261.76054236386</v>
      </c>
      <c r="L8" s="41">
        <v>0</v>
      </c>
      <c r="M8" s="35">
        <f>+'Title IV-B'!I8</f>
        <v>25345.958839561266</v>
      </c>
      <c r="N8" s="35">
        <f>+'Title IV-D'!E8*'Pop Data'!AC8</f>
        <v>533020.19421909808</v>
      </c>
      <c r="O8" s="35">
        <f>+'Title XX'!G8*0.001</f>
        <v>47569.735368244525</v>
      </c>
      <c r="P8" s="35">
        <f>+TANF!E8*TANF!AB8</f>
        <v>1669495.1910000001</v>
      </c>
      <c r="Q8" s="35">
        <f>+Nutrition!AK8</f>
        <v>1814716.3924121221</v>
      </c>
      <c r="R8" s="35">
        <f>+'Juvenile Justice'!H8</f>
        <v>2058245.78</v>
      </c>
      <c r="S8" s="35">
        <f>+(+'Tax Credits'!O8*'Low Income Pop'!J8)+('Tax Credits'!P8*'Pop Data'!AC8)</f>
        <v>4799742.3933666982</v>
      </c>
      <c r="T8" s="86">
        <f t="shared" si="0"/>
        <v>47605388.97414799</v>
      </c>
    </row>
    <row r="9" spans="1:20" x14ac:dyDescent="0.2">
      <c r="A9" s="41" t="s">
        <v>115</v>
      </c>
      <c r="B9" s="35">
        <f>+'K-12 Educ'!G9*('Pop Data'!W9/'Pop Data'!X9)</f>
        <v>3558152.4727446414</v>
      </c>
      <c r="C9" s="41">
        <v>0</v>
      </c>
      <c r="D9" s="41">
        <v>0</v>
      </c>
      <c r="E9" s="35">
        <f>+Medicaid!J9*'Low Income Pop'!J9</f>
        <v>370862.88767138455</v>
      </c>
      <c r="F9" s="35">
        <f>+CHIP!E9*'Low Income Pop'!J9</f>
        <v>55141.111756038757</v>
      </c>
      <c r="G9" s="35">
        <f>+'Mental Health'!H9*'Pop Data'!AC9</f>
        <v>46552.03395763052</v>
      </c>
      <c r="H9" s="35">
        <f>+Immunizations!E9*'Pop Data'!AC9</f>
        <v>16966.314951863715</v>
      </c>
      <c r="I9" s="35">
        <f>+MCHBG!I9*'Pop Data'!AC9</f>
        <v>3897.7379990084119</v>
      </c>
      <c r="J9" s="35">
        <f>+'Title IV-E'!W9</f>
        <v>34246.375857060259</v>
      </c>
      <c r="K9" s="35">
        <f>+'CW - State and Local Share'!D9*'Pop Data'!AC9</f>
        <v>88563.184563709336</v>
      </c>
      <c r="L9" s="41">
        <v>0</v>
      </c>
      <c r="M9" s="35">
        <f>+'Title IV-B'!I9</f>
        <v>3266.1136622980484</v>
      </c>
      <c r="N9" s="35">
        <f>+'Title IV-D'!E9*'Pop Data'!AC9</f>
        <v>42639.096603912105</v>
      </c>
      <c r="O9" s="35">
        <f>+'Title XX'!G9*0.001</f>
        <v>13446.47841</v>
      </c>
      <c r="P9" s="35">
        <f>+TANF!E9*TANF!AB9</f>
        <v>66082.122000000032</v>
      </c>
      <c r="Q9" s="35">
        <f>+Nutrition!AK9</f>
        <v>186144.74221155269</v>
      </c>
      <c r="R9" s="35">
        <f>+'Juvenile Justice'!H9</f>
        <v>135376.19</v>
      </c>
      <c r="S9" s="35">
        <f>+(+'Tax Credits'!O9*'Low Income Pop'!J9)+('Tax Credits'!P9*'Pop Data'!AC9)</f>
        <v>542991.1029629939</v>
      </c>
      <c r="T9" s="86">
        <f t="shared" si="0"/>
        <v>5164327.9653520938</v>
      </c>
    </row>
    <row r="10" spans="1:20" x14ac:dyDescent="0.2">
      <c r="A10" s="41" t="s">
        <v>114</v>
      </c>
      <c r="B10" s="35">
        <f>+'K-12 Educ'!G10*('Pop Data'!W10/'Pop Data'!X10)</f>
        <v>4798917.7443429669</v>
      </c>
      <c r="C10" s="41">
        <v>0</v>
      </c>
      <c r="D10" s="41">
        <v>0</v>
      </c>
      <c r="E10" s="35">
        <f>+Medicaid!J10*'Low Income Pop'!J10</f>
        <v>419222.93081073667</v>
      </c>
      <c r="F10" s="35">
        <f>+CHIP!E10*'Low Income Pop'!J10</f>
        <v>8022.6127548568684</v>
      </c>
      <c r="G10" s="35">
        <f>+'Mental Health'!H10*'Pop Data'!AC10</f>
        <v>0</v>
      </c>
      <c r="H10" s="35">
        <f>+Immunizations!E10*'Pop Data'!AC10</f>
        <v>14496.750454084013</v>
      </c>
      <c r="I10" s="35">
        <f>+MCHBG!I10*'Pop Data'!AC10</f>
        <v>4136.937714439272</v>
      </c>
      <c r="J10" s="35">
        <f>+'Title IV-E'!W10</f>
        <v>29239.86647083137</v>
      </c>
      <c r="K10" s="35">
        <f>+'CW - State and Local Share'!D10*'Pop Data'!AC10</f>
        <v>123649.7136289975</v>
      </c>
      <c r="L10" s="41">
        <v>0</v>
      </c>
      <c r="M10" s="35">
        <f>+'Title IV-B'!I10</f>
        <v>1942.6714217939962</v>
      </c>
      <c r="N10" s="35">
        <f>+'Title IV-D'!E10*'Pop Data'!AC10</f>
        <v>43194.995000995514</v>
      </c>
      <c r="O10" s="35">
        <f>+'Title XX'!G10*0.001</f>
        <v>2818.2816779589884</v>
      </c>
      <c r="P10" s="35">
        <f>+TANF!E10*TANF!AB10</f>
        <v>115813.02400000002</v>
      </c>
      <c r="Q10" s="35">
        <f>+Nutrition!AK10</f>
        <v>164208.11829811073</v>
      </c>
      <c r="R10" s="35">
        <f>+'Juvenile Justice'!H10</f>
        <v>56935.66</v>
      </c>
      <c r="S10" s="35">
        <f>+(+'Tax Credits'!O10*'Low Income Pop'!J10)+('Tax Credits'!P10*'Pop Data'!AC10)</f>
        <v>366530.77263784735</v>
      </c>
      <c r="T10" s="86">
        <f t="shared" si="0"/>
        <v>6149130.0792136192</v>
      </c>
    </row>
    <row r="11" spans="1:20" x14ac:dyDescent="0.2">
      <c r="A11" s="41" t="s">
        <v>42</v>
      </c>
      <c r="B11" s="35">
        <f>+'K-12 Educ'!G11*('Pop Data'!W11/'Pop Data'!X11)</f>
        <v>880385.02288876858</v>
      </c>
      <c r="C11" s="41">
        <v>0</v>
      </c>
      <c r="D11" s="41">
        <v>0</v>
      </c>
      <c r="E11" s="35">
        <f>+Medicaid!J11*'Low Income Pop'!J11</f>
        <v>105941.68486078855</v>
      </c>
      <c r="F11" s="35">
        <f>+CHIP!E11*'Low Income Pop'!J11</f>
        <v>6733.800716845878</v>
      </c>
      <c r="G11" s="35">
        <f>+'Mental Health'!H11*'Pop Data'!AC11</f>
        <v>0</v>
      </c>
      <c r="H11" s="35">
        <f>+Immunizations!E11*'Pop Data'!AC11</f>
        <v>4058.1642306266767</v>
      </c>
      <c r="I11" s="35">
        <f>+MCHBG!I11*'Pop Data'!AC11</f>
        <v>3196.935955523043</v>
      </c>
      <c r="J11" s="35">
        <f>+'Title IV-E'!W11</f>
        <v>1992.0312565227994</v>
      </c>
      <c r="K11" s="35">
        <f>+'CW - State and Local Share'!D11*'Pop Data'!AC11</f>
        <v>16293.235844915875</v>
      </c>
      <c r="L11" s="41">
        <v>0</v>
      </c>
      <c r="M11" s="35">
        <f>+'Title IV-B'!I11</f>
        <v>690.2289146549623</v>
      </c>
      <c r="N11" s="35">
        <f>+'Title IV-D'!E11*'Pop Data'!AC11</f>
        <v>26704.43586930017</v>
      </c>
      <c r="O11" s="35">
        <f>+'Title XX'!G11*0.001</f>
        <v>670.73739891397861</v>
      </c>
      <c r="P11" s="35">
        <f>+TANF!E11*TANF!AB11</f>
        <v>19374.739999999998</v>
      </c>
      <c r="Q11" s="35">
        <f>+Nutrition!AK11</f>
        <v>61156.020945900527</v>
      </c>
      <c r="R11" s="35">
        <f>+'Juvenile Justice'!H11</f>
        <v>28068.06</v>
      </c>
      <c r="S11" s="35">
        <f>+(+'Tax Credits'!O11*'Low Income Pop'!J11)+('Tax Credits'!P11*'Pop Data'!AC11)</f>
        <v>109225.61003566399</v>
      </c>
      <c r="T11" s="86">
        <f t="shared" si="0"/>
        <v>1264490.708918425</v>
      </c>
    </row>
    <row r="12" spans="1:20" x14ac:dyDescent="0.2">
      <c r="A12" s="41" t="s">
        <v>116</v>
      </c>
      <c r="B12" s="35">
        <f>+'K-12 Educ'!G12*('Pop Data'!W12/'Pop Data'!X12)</f>
        <v>11320873.973471818</v>
      </c>
      <c r="C12" s="41">
        <v>0</v>
      </c>
      <c r="D12" s="41">
        <v>0</v>
      </c>
      <c r="E12" s="35">
        <f>+Medicaid!J12*'Low Income Pop'!J12</f>
        <v>1267211.2535742694</v>
      </c>
      <c r="F12" s="35">
        <f>+CHIP!E12*'Low Income Pop'!J12</f>
        <v>149220.39468950854</v>
      </c>
      <c r="G12" s="35">
        <f>+'Mental Health'!H12*'Pop Data'!AC12</f>
        <v>31669.182666478329</v>
      </c>
      <c r="H12" s="35">
        <f>+Immunizations!E12*'Pop Data'!AC12</f>
        <v>76446.968195195732</v>
      </c>
      <c r="I12" s="35">
        <f>+MCHBG!I12*'Pop Data'!AC12</f>
        <v>50012.291264751846</v>
      </c>
      <c r="J12" s="35">
        <f>+'Title IV-E'!W12</f>
        <v>72398.188327516938</v>
      </c>
      <c r="K12" s="35">
        <f>+'CW - State and Local Share'!D12*'Pop Data'!AC12</f>
        <v>176208.96068662428</v>
      </c>
      <c r="L12" s="41">
        <v>0</v>
      </c>
      <c r="M12" s="35">
        <f>+'Title IV-B'!I12</f>
        <v>10186.426263641384</v>
      </c>
      <c r="N12" s="35">
        <f>+'Title IV-D'!E12*'Pop Data'!AC12</f>
        <v>159239.02756890727</v>
      </c>
      <c r="O12" s="35">
        <f>+'Title XX'!G12*0.001</f>
        <v>36543.699073121817</v>
      </c>
      <c r="P12" s="35">
        <f>+TANF!E12*TANF!AB12</f>
        <v>223790.32499999992</v>
      </c>
      <c r="Q12" s="35">
        <f>+Nutrition!AK12</f>
        <v>1449775.5422386106</v>
      </c>
      <c r="R12" s="35">
        <f>+'Juvenile Justice'!H12</f>
        <v>218257.80799999999</v>
      </c>
      <c r="S12" s="35">
        <f>+(+'Tax Credits'!O12*'Low Income Pop'!J12)+('Tax Credits'!P12*'Pop Data'!AC12)</f>
        <v>2671072.9810948311</v>
      </c>
      <c r="T12" s="86">
        <f t="shared" si="0"/>
        <v>17912907.022115272</v>
      </c>
    </row>
    <row r="13" spans="1:20" x14ac:dyDescent="0.2">
      <c r="A13" s="41" t="s">
        <v>117</v>
      </c>
      <c r="B13" s="35">
        <f>+'K-12 Educ'!G13*('Pop Data'!W13/'Pop Data'!X13)</f>
        <v>7662217.4604440453</v>
      </c>
      <c r="C13" s="41">
        <v>0</v>
      </c>
      <c r="D13" s="41">
        <v>0</v>
      </c>
      <c r="E13" s="35">
        <f>+Medicaid!J13*'Low Income Pop'!J13</f>
        <v>749536.54667566402</v>
      </c>
      <c r="F13" s="35">
        <f>+CHIP!E13*'Low Income Pop'!J13</f>
        <v>91819.143610821426</v>
      </c>
      <c r="G13" s="35">
        <f>+'Mental Health'!H13*'Pop Data'!AC13</f>
        <v>35202.085080066259</v>
      </c>
      <c r="H13" s="35">
        <f>+Immunizations!E13*'Pop Data'!AC13</f>
        <v>50463.163398257915</v>
      </c>
      <c r="I13" s="35">
        <f>+MCHBG!I13*'Pop Data'!AC13</f>
        <v>37626.916523096632</v>
      </c>
      <c r="J13" s="35">
        <f>+'Title IV-E'!W13</f>
        <v>28812.395930927174</v>
      </c>
      <c r="K13" s="35">
        <f>+'CW - State and Local Share'!D13*'Pop Data'!AC13</f>
        <v>67696.883366096081</v>
      </c>
      <c r="L13" s="41">
        <v>0</v>
      </c>
      <c r="M13" s="35">
        <f>+'Title IV-B'!I13</f>
        <v>6764.0112248070209</v>
      </c>
      <c r="N13" s="35">
        <f>+'Title IV-D'!E13*'Pop Data'!AC13</f>
        <v>58505.283550424174</v>
      </c>
      <c r="O13" s="35">
        <f>+'Title XX'!G13*0.001</f>
        <v>2430.9940081506415</v>
      </c>
      <c r="P13" s="35">
        <f>+TANF!E13*TANF!AB13</f>
        <v>162553.48000000004</v>
      </c>
      <c r="Q13" s="35">
        <f>+Nutrition!AK13</f>
        <v>659024.33762318955</v>
      </c>
      <c r="R13" s="35">
        <f>+'Juvenile Justice'!H13</f>
        <v>188211.288</v>
      </c>
      <c r="S13" s="35">
        <f>+(+'Tax Credits'!O13*'Low Income Pop'!J13)+('Tax Credits'!P13*'Pop Data'!AC13)</f>
        <v>1468681.5242375075</v>
      </c>
      <c r="T13" s="86">
        <f t="shared" si="0"/>
        <v>11269545.513673058</v>
      </c>
    </row>
    <row r="14" spans="1:20" x14ac:dyDescent="0.2">
      <c r="A14" s="41" t="s">
        <v>118</v>
      </c>
      <c r="B14" s="35">
        <f>+'K-12 Educ'!G14*('Pop Data'!W14/'Pop Data'!X14)</f>
        <v>1037383.0391538282</v>
      </c>
      <c r="C14" s="41">
        <v>0</v>
      </c>
      <c r="D14" s="41">
        <v>0</v>
      </c>
      <c r="E14" s="35">
        <f>+Medicaid!J14*'Low Income Pop'!J14</f>
        <v>85197.029318516114</v>
      </c>
      <c r="F14" s="35">
        <f>+CHIP!E14*'Low Income Pop'!J14</f>
        <v>12208.040529498285</v>
      </c>
      <c r="G14" s="35">
        <f>+'Mental Health'!H14*'Pop Data'!AC14</f>
        <v>10566.891753953618</v>
      </c>
      <c r="H14" s="35">
        <f>+Immunizations!E14*'Pop Data'!AC14</f>
        <v>5650.9291644065725</v>
      </c>
      <c r="I14" s="35">
        <f>+MCHBG!I14*'Pop Data'!AC14</f>
        <v>7464.0501986132513</v>
      </c>
      <c r="J14" s="35">
        <f>+'Title IV-E'!W14</f>
        <v>0</v>
      </c>
      <c r="K14" s="35">
        <f>+'CW - State and Local Share'!D14*'Pop Data'!AC14</f>
        <v>0</v>
      </c>
      <c r="L14" s="41">
        <v>0</v>
      </c>
      <c r="M14" s="35">
        <f>+'Title IV-B'!I14</f>
        <v>693.68708290039694</v>
      </c>
      <c r="N14" s="35">
        <f>+'Title IV-D'!E14*'Pop Data'!AC14</f>
        <v>10472.15941335463</v>
      </c>
      <c r="O14" s="35">
        <f>+'Title XX'!G14*0.001</f>
        <v>3491.3093946304493</v>
      </c>
      <c r="P14" s="35">
        <f>+TANF!E14*TANF!AB14</f>
        <v>54961.24</v>
      </c>
      <c r="Q14" s="35">
        <f>+Nutrition!AK14</f>
        <v>134362.75678108836</v>
      </c>
      <c r="R14" s="35">
        <f>+'Juvenile Justice'!H14</f>
        <v>20792.581000000002</v>
      </c>
      <c r="S14" s="35">
        <f>+(+'Tax Credits'!O14*'Low Income Pop'!J14)+('Tax Credits'!P14*'Pop Data'!AC14)</f>
        <v>157844.92972029897</v>
      </c>
      <c r="T14" s="86">
        <f t="shared" si="0"/>
        <v>1541088.643511089</v>
      </c>
    </row>
    <row r="15" spans="1:20" x14ac:dyDescent="0.2">
      <c r="A15" s="41" t="s">
        <v>119</v>
      </c>
      <c r="B15" s="35">
        <f>+'K-12 Educ'!G15*('Pop Data'!W15/'Pop Data'!X15)</f>
        <v>915958.84937880654</v>
      </c>
      <c r="C15" s="41">
        <v>0</v>
      </c>
      <c r="D15" s="41">
        <v>0</v>
      </c>
      <c r="E15" s="35">
        <f>+Medicaid!J15*'Low Income Pop'!J15</f>
        <v>118886.02765774511</v>
      </c>
      <c r="F15" s="35">
        <f>+CHIP!E15*'Low Income Pop'!J15</f>
        <v>12623.367078075164</v>
      </c>
      <c r="G15" s="35">
        <f>+'Mental Health'!H15*'Pop Data'!AC15</f>
        <v>3832.410262789977</v>
      </c>
      <c r="H15" s="35">
        <f>+Immunizations!E15*'Pop Data'!AC15</f>
        <v>8129.5081704086642</v>
      </c>
      <c r="I15" s="35">
        <f>+MCHBG!I15*'Pop Data'!AC15</f>
        <v>1633.557441466502</v>
      </c>
      <c r="J15" s="35">
        <f>+'Title IV-E'!W15</f>
        <v>4033.2080339432846</v>
      </c>
      <c r="K15" s="35">
        <f>+'CW - State and Local Share'!D15*'Pop Data'!AC15</f>
        <v>6188.0848335859791</v>
      </c>
      <c r="L15" s="41">
        <v>0</v>
      </c>
      <c r="M15" s="35">
        <f>+'Title IV-B'!I15</f>
        <v>1102.4863541373961</v>
      </c>
      <c r="N15" s="35">
        <f>+'Title IV-D'!E15*'Pop Data'!AC15</f>
        <v>13248.761068939304</v>
      </c>
      <c r="O15" s="35">
        <f>+'Title XX'!G15*0.001</f>
        <v>2586.6625885808626</v>
      </c>
      <c r="P15" s="35">
        <f>+TANF!E15*TANF!AB15</f>
        <v>11388.048000000001</v>
      </c>
      <c r="Q15" s="35">
        <f>+Nutrition!AK15</f>
        <v>87184.178357628218</v>
      </c>
      <c r="R15" s="35">
        <f>+'Juvenile Justice'!H15</f>
        <v>32219.246999999999</v>
      </c>
      <c r="S15" s="35">
        <f>+(+'Tax Credits'!O15*'Low Income Pop'!J15)+('Tax Credits'!P15*'Pop Data'!AC15)</f>
        <v>206716.93824292059</v>
      </c>
      <c r="T15" s="86">
        <f t="shared" si="0"/>
        <v>1425731.3344690276</v>
      </c>
    </row>
    <row r="16" spans="1:20" x14ac:dyDescent="0.2">
      <c r="A16" s="41" t="s">
        <v>120</v>
      </c>
      <c r="B16" s="35">
        <f>+'K-12 Educ'!G16*('Pop Data'!W16/'Pop Data'!X16)</f>
        <v>12503901.188431669</v>
      </c>
      <c r="C16" s="41">
        <v>0</v>
      </c>
      <c r="D16" s="41">
        <v>0</v>
      </c>
      <c r="E16" s="35">
        <f>+Medicaid!J16*'Low Income Pop'!J16</f>
        <v>1202809.2727336802</v>
      </c>
      <c r="F16" s="35">
        <f>+CHIP!E16*'Low Income Pop'!J16</f>
        <v>124049.02286182946</v>
      </c>
      <c r="G16" s="35">
        <f>+'Mental Health'!H16*'Pop Data'!AC16</f>
        <v>82511.280782249683</v>
      </c>
      <c r="H16" s="35">
        <f>+Immunizations!E16*'Pop Data'!AC16</f>
        <v>54811.945038387246</v>
      </c>
      <c r="I16" s="35">
        <f>+MCHBG!I16*'Pop Data'!AC16</f>
        <v>15984.204735195894</v>
      </c>
      <c r="J16" s="35">
        <f>+'Title IV-E'!W16</f>
        <v>91116.465106716074</v>
      </c>
      <c r="K16" s="35">
        <f>+'CW - State and Local Share'!D16*'Pop Data'!AC16</f>
        <v>180473.1896333792</v>
      </c>
      <c r="L16" s="41">
        <v>0</v>
      </c>
      <c r="M16" s="35">
        <f>+'Title IV-B'!I16</f>
        <v>8682.8054418800912</v>
      </c>
      <c r="N16" s="35">
        <f>+'Title IV-D'!E16*'Pop Data'!AC16</f>
        <v>115920.35347944644</v>
      </c>
      <c r="O16" s="35">
        <f>+'Title XX'!G16*0.001</f>
        <v>3649.3324480661822</v>
      </c>
      <c r="P16" s="35">
        <f>+TANF!E16*TANF!AB16</f>
        <v>311526.65599999996</v>
      </c>
      <c r="Q16" s="35">
        <f>+Nutrition!AK16</f>
        <v>806534.47619907209</v>
      </c>
      <c r="R16" s="35">
        <f>+'Juvenile Justice'!H16</f>
        <v>243357</v>
      </c>
      <c r="S16" s="35">
        <f>+(+'Tax Credits'!O16*'Low Income Pop'!J16)+('Tax Credits'!P16*'Pop Data'!AC16)</f>
        <v>1614850.9377296749</v>
      </c>
      <c r="T16" s="86">
        <f t="shared" si="0"/>
        <v>17360178.130621243</v>
      </c>
    </row>
    <row r="17" spans="1:20" x14ac:dyDescent="0.2">
      <c r="A17" s="41" t="s">
        <v>121</v>
      </c>
      <c r="B17" s="35">
        <f>+'K-12 Educ'!G17*('Pop Data'!W17/'Pop Data'!X17)</f>
        <v>5042924.0204213141</v>
      </c>
      <c r="C17" s="41">
        <v>0</v>
      </c>
      <c r="D17" s="41">
        <v>0</v>
      </c>
      <c r="E17" s="35">
        <f>+Medicaid!J17*'Low Income Pop'!J17</f>
        <v>513643.58255639102</v>
      </c>
      <c r="F17" s="35">
        <f>+CHIP!E17*'Low Income Pop'!J17</f>
        <v>49073.684210526313</v>
      </c>
      <c r="G17" s="35">
        <f>+'Mental Health'!H17*'Pop Data'!AC17</f>
        <v>37036.878890966123</v>
      </c>
      <c r="H17" s="35">
        <f>+Immunizations!E17*'Pop Data'!AC17</f>
        <v>25720.033074788385</v>
      </c>
      <c r="I17" s="35">
        <f>+MCHBG!I17*'Pop Data'!AC17</f>
        <v>8220.9627513008345</v>
      </c>
      <c r="J17" s="35">
        <f>+'Title IV-E'!W17</f>
        <v>37659.480511257156</v>
      </c>
      <c r="K17" s="35">
        <f>+'CW - State and Local Share'!D17*'Pop Data'!AC17</f>
        <v>141632.02028178854</v>
      </c>
      <c r="L17" s="41">
        <v>0</v>
      </c>
      <c r="M17" s="35">
        <f>+'Title IV-B'!I17</f>
        <v>5233.4987345110949</v>
      </c>
      <c r="N17" s="35">
        <f>+'Title IV-D'!E17*'Pop Data'!AC17</f>
        <v>58338.192163003296</v>
      </c>
      <c r="O17" s="35">
        <f>+'Title XX'!G17*0.001</f>
        <v>4328.0211517469806</v>
      </c>
      <c r="P17" s="35">
        <f>+TANF!E17*TANF!AB17</f>
        <v>51578.007999999987</v>
      </c>
      <c r="Q17" s="35">
        <f>+Nutrition!AK17</f>
        <v>325997.46368972363</v>
      </c>
      <c r="R17" s="35">
        <f>+'Juvenile Justice'!H17</f>
        <v>147155.90600000002</v>
      </c>
      <c r="S17" s="35">
        <f>+(+'Tax Credits'!O17*'Low Income Pop'!J17)+('Tax Credits'!P17*'Pop Data'!AC17)</f>
        <v>815477.30606362864</v>
      </c>
      <c r="T17" s="86">
        <f t="shared" si="0"/>
        <v>7264019.0585009493</v>
      </c>
    </row>
    <row r="18" spans="1:20" x14ac:dyDescent="0.2">
      <c r="A18" s="41" t="s">
        <v>122</v>
      </c>
      <c r="B18" s="35">
        <f>+'K-12 Educ'!G18*('Pop Data'!W18/'Pop Data'!X18)</f>
        <v>2651856.4876114759</v>
      </c>
      <c r="C18" s="41">
        <v>0</v>
      </c>
      <c r="D18" s="41">
        <v>0</v>
      </c>
      <c r="E18" s="35">
        <f>+Medicaid!J18*'Low Income Pop'!J18</f>
        <v>202169.1023163636</v>
      </c>
      <c r="F18" s="35">
        <f>+CHIP!E18*'Low Income Pop'!J18</f>
        <v>31452.958524690643</v>
      </c>
      <c r="G18" s="35">
        <f>+'Mental Health'!H18*'Pop Data'!AC18</f>
        <v>52844.482847065512</v>
      </c>
      <c r="H18" s="35">
        <f>+Immunizations!E18*'Pop Data'!AC18</f>
        <v>10290.366064989012</v>
      </c>
      <c r="I18" s="35">
        <f>+MCHBG!I18*'Pop Data'!AC18</f>
        <v>3271.1055997692797</v>
      </c>
      <c r="J18" s="35">
        <f>+'Title IV-E'!W18</f>
        <v>14421.737464890522</v>
      </c>
      <c r="K18" s="35">
        <f>+'CW - State and Local Share'!D18*'Pop Data'!AC18</f>
        <v>46767.167151944872</v>
      </c>
      <c r="L18" s="41">
        <v>0</v>
      </c>
      <c r="M18" s="35">
        <f>+'Title IV-B'!I18</f>
        <v>1955.4005511056134</v>
      </c>
      <c r="N18" s="35">
        <f>+'Title IV-D'!E18*'Pop Data'!AC18</f>
        <v>31679.833585309141</v>
      </c>
      <c r="O18" s="35">
        <f>+'Title XX'!G18*0.001</f>
        <v>7293.492799722062</v>
      </c>
      <c r="P18" s="35">
        <f>+TANF!E18*TANF!AB18</f>
        <v>37210.875000000015</v>
      </c>
      <c r="Q18" s="35">
        <f>+Nutrition!AK18</f>
        <v>131296.09552107562</v>
      </c>
      <c r="R18" s="35">
        <f>+'Juvenile Justice'!H18</f>
        <v>110273.143</v>
      </c>
      <c r="S18" s="35">
        <f>+(+'Tax Credits'!O18*'Low Income Pop'!J18)+('Tax Credits'!P18*'Pop Data'!AC18)</f>
        <v>320717.0715859941</v>
      </c>
      <c r="T18" s="86">
        <f t="shared" si="0"/>
        <v>3653499.319624396</v>
      </c>
    </row>
    <row r="19" spans="1:20" x14ac:dyDescent="0.2">
      <c r="A19" s="41" t="s">
        <v>123</v>
      </c>
      <c r="B19" s="35">
        <f>+'K-12 Educ'!G19*('Pop Data'!W19/'Pop Data'!X19)</f>
        <v>2500104.4260162716</v>
      </c>
      <c r="C19" s="41">
        <v>0</v>
      </c>
      <c r="D19" s="41">
        <v>0</v>
      </c>
      <c r="E19" s="35">
        <f>+Medicaid!J19*'Low Income Pop'!J19</f>
        <v>196329.96291720372</v>
      </c>
      <c r="F19" s="35">
        <f>+CHIP!E19*'Low Income Pop'!J19</f>
        <v>21156.767106647112</v>
      </c>
      <c r="G19" s="35">
        <f>+'Mental Health'!H19*'Pop Data'!AC19</f>
        <v>50772.462939048281</v>
      </c>
      <c r="H19" s="35">
        <f>+Immunizations!E19*'Pop Data'!AC19</f>
        <v>9710.1942724601831</v>
      </c>
      <c r="I19" s="35">
        <f>+MCHBG!I19*'Pop Data'!AC19</f>
        <v>2493.5339601051492</v>
      </c>
      <c r="J19" s="35">
        <f>+'Title IV-E'!W19</f>
        <v>10657.048745322405</v>
      </c>
      <c r="K19" s="35">
        <f>+'CW - State and Local Share'!D19*'Pop Data'!AC19</f>
        <v>49665.537652698316</v>
      </c>
      <c r="L19" s="41">
        <v>0</v>
      </c>
      <c r="M19" s="35">
        <f>+'Title IV-B'!I19</f>
        <v>1795.4758993791238</v>
      </c>
      <c r="N19" s="35">
        <f>+'Title IV-D'!E19*'Pop Data'!AC19</f>
        <v>30822.468532549869</v>
      </c>
      <c r="O19" s="35">
        <f>+'Title XX'!G19*0.001</f>
        <v>7117.4882240000015</v>
      </c>
      <c r="P19" s="35">
        <f>+TANF!E19*TANF!AB19</f>
        <v>29274.768</v>
      </c>
      <c r="Q19" s="35">
        <f>+Nutrition!AK19</f>
        <v>108818.55227987062</v>
      </c>
      <c r="R19" s="35">
        <f>+'Juvenile Justice'!H19</f>
        <v>75272.028999999995</v>
      </c>
      <c r="S19" s="35">
        <f>+(+'Tax Credits'!O19*'Low Income Pop'!J19)+('Tax Credits'!P19*'Pop Data'!AC19)</f>
        <v>351738.5425152831</v>
      </c>
      <c r="T19" s="86">
        <f t="shared" si="0"/>
        <v>3445729.258060839</v>
      </c>
    </row>
    <row r="20" spans="1:20" x14ac:dyDescent="0.2">
      <c r="A20" s="41" t="s">
        <v>124</v>
      </c>
      <c r="B20" s="35">
        <f>+'K-12 Educ'!G20*('Pop Data'!W20/'Pop Data'!X20)</f>
        <v>3205332.1359116235</v>
      </c>
      <c r="C20" s="41">
        <v>0</v>
      </c>
      <c r="D20" s="41">
        <v>0</v>
      </c>
      <c r="E20" s="35">
        <f>+Medicaid!J20*'Low Income Pop'!J20</f>
        <v>472239.44204754016</v>
      </c>
      <c r="F20" s="35">
        <f>+CHIP!E20*'Low Income Pop'!J20</f>
        <v>52528.739021829359</v>
      </c>
      <c r="G20" s="35">
        <f>+'Mental Health'!H20*'Pop Data'!AC20</f>
        <v>19060.010809271655</v>
      </c>
      <c r="H20" s="35">
        <f>+Immunizations!E20*'Pop Data'!AC20</f>
        <v>16947.431761776719</v>
      </c>
      <c r="I20" s="35">
        <f>+MCHBG!I20*'Pop Data'!AC20</f>
        <v>14132.42859923908</v>
      </c>
      <c r="J20" s="35">
        <f>+'Title IV-E'!W20</f>
        <v>24396.200631620508</v>
      </c>
      <c r="K20" s="35">
        <f>+'CW - State and Local Share'!D20*'Pop Data'!AC20</f>
        <v>105947.83281708206</v>
      </c>
      <c r="L20" s="41">
        <v>0</v>
      </c>
      <c r="M20" s="35">
        <f>+'Title IV-B'!I20</f>
        <v>3361.9824920205083</v>
      </c>
      <c r="N20" s="35">
        <f>+'Title IV-D'!E20*'Pop Data'!AC20</f>
        <v>38528.13148792326</v>
      </c>
      <c r="O20" s="35">
        <f>+'Title XX'!G20*0.001</f>
        <v>5837.0417598589938</v>
      </c>
      <c r="P20" s="35">
        <f>+TANF!E20*TANF!AB20</f>
        <v>57378.671999999991</v>
      </c>
      <c r="Q20" s="35">
        <f>+Nutrition!AK20</f>
        <v>316526.14883797133</v>
      </c>
      <c r="R20" s="35">
        <f>+'Juvenile Justice'!H20</f>
        <v>76773.78</v>
      </c>
      <c r="S20" s="35">
        <f>+(+'Tax Credits'!O20*'Low Income Pop'!J20)+('Tax Credits'!P20*'Pop Data'!AC20)</f>
        <v>550356.1636045659</v>
      </c>
      <c r="T20" s="86">
        <f t="shared" si="0"/>
        <v>4959346.141782322</v>
      </c>
    </row>
    <row r="21" spans="1:20" x14ac:dyDescent="0.2">
      <c r="A21" s="41" t="s">
        <v>125</v>
      </c>
      <c r="B21" s="35">
        <f>+'K-12 Educ'!G21*('Pop Data'!W21/'Pop Data'!X21)</f>
        <v>3693638.5768902618</v>
      </c>
      <c r="C21" s="41">
        <v>0</v>
      </c>
      <c r="D21" s="41">
        <v>0</v>
      </c>
      <c r="E21" s="35">
        <f>+Medicaid!J21*'Low Income Pop'!J21</f>
        <v>579795.48934137076</v>
      </c>
      <c r="F21" s="35">
        <f>+CHIP!E21*'Low Income Pop'!J21</f>
        <v>64801.076267605866</v>
      </c>
      <c r="G21" s="35">
        <f>+'Mental Health'!H21*'Pop Data'!AC21</f>
        <v>15103.314362179366</v>
      </c>
      <c r="H21" s="35">
        <f>+Immunizations!E21*'Pop Data'!AC21</f>
        <v>24587.566777786429</v>
      </c>
      <c r="I21" s="35">
        <f>+MCHBG!I21*'Pop Data'!AC21</f>
        <v>6411.5762974871241</v>
      </c>
      <c r="J21" s="35">
        <f>+'Title IV-E'!W21</f>
        <v>15639.286303003304</v>
      </c>
      <c r="K21" s="35">
        <f>+'CW - State and Local Share'!D21*'Pop Data'!AC21</f>
        <v>12501.474808172818</v>
      </c>
      <c r="L21" s="41">
        <v>0</v>
      </c>
      <c r="M21" s="35">
        <f>+'Title IV-B'!I21</f>
        <v>3811.1786165660087</v>
      </c>
      <c r="N21" s="35">
        <f>+'Title IV-D'!E21*'Pop Data'!AC21</f>
        <v>44089.069800313649</v>
      </c>
      <c r="O21" s="35">
        <f>+'Title XX'!G21*0.001</f>
        <v>13449.398794351451</v>
      </c>
      <c r="P21" s="35">
        <f>+TANF!E21*TANF!AB21</f>
        <v>70459.775999999983</v>
      </c>
      <c r="Q21" s="35">
        <f>+Nutrition!AK21</f>
        <v>361534.17788863136</v>
      </c>
      <c r="R21" s="35">
        <f>+'Juvenile Justice'!H21</f>
        <v>49212.534</v>
      </c>
      <c r="S21" s="35">
        <f>+(+'Tax Credits'!O21*'Low Income Pop'!J21)+('Tax Credits'!P21*'Pop Data'!AC21)</f>
        <v>726427.67514103511</v>
      </c>
      <c r="T21" s="86">
        <f t="shared" si="0"/>
        <v>5681462.1712887641</v>
      </c>
    </row>
    <row r="22" spans="1:20" x14ac:dyDescent="0.2">
      <c r="A22" s="41" t="s">
        <v>0</v>
      </c>
      <c r="B22" s="35">
        <f>+'K-12 Educ'!G22*('Pop Data'!W22/'Pop Data'!X22)</f>
        <v>1162357.3810072658</v>
      </c>
      <c r="C22" s="41">
        <v>0</v>
      </c>
      <c r="D22" s="41">
        <v>0</v>
      </c>
      <c r="E22" s="35">
        <f>+Medicaid!J22*'Low Income Pop'!J22</f>
        <v>118432.64693424581</v>
      </c>
      <c r="F22" s="35">
        <f>+CHIP!E22*'Low Income Pop'!J22</f>
        <v>9681.7293997965407</v>
      </c>
      <c r="G22" s="35">
        <f>+'Mental Health'!H22*'Pop Data'!AC22</f>
        <v>71267.024147913515</v>
      </c>
      <c r="H22" s="35">
        <f>+Immunizations!E22*'Pop Data'!AC22</f>
        <v>5203.5761399378753</v>
      </c>
      <c r="I22" s="35">
        <f>+MCHBG!I22*'Pop Data'!AC22</f>
        <v>3813.0796146180405</v>
      </c>
      <c r="J22" s="35">
        <f>+'Title IV-E'!W22</f>
        <v>7119.7741792582674</v>
      </c>
      <c r="K22" s="35">
        <f>+'CW - State and Local Share'!D22*'Pop Data'!AC22</f>
        <v>27857.581585300733</v>
      </c>
      <c r="L22" s="41">
        <v>0</v>
      </c>
      <c r="M22" s="35">
        <f>+'Title IV-B'!I22</f>
        <v>1119.464949397232</v>
      </c>
      <c r="N22" s="35">
        <f>+'Title IV-D'!E22*'Pop Data'!AC22</f>
        <v>16717.219894854807</v>
      </c>
      <c r="O22" s="35">
        <f>+'Title XX'!G22*0.001</f>
        <v>159.85882086112002</v>
      </c>
      <c r="P22" s="35">
        <f>+TANF!E22*TANF!AB22</f>
        <v>26161.955999999998</v>
      </c>
      <c r="Q22" s="35">
        <f>+Nutrition!AK22</f>
        <v>79318.639637248518</v>
      </c>
      <c r="R22" s="35">
        <f>+'Juvenile Justice'!H22</f>
        <v>38913.4</v>
      </c>
      <c r="S22" s="35">
        <f>+(+'Tax Credits'!O22*'Low Income Pop'!J22)+('Tax Credits'!P22*'Pop Data'!AC22)</f>
        <v>121839.92895955399</v>
      </c>
      <c r="T22" s="86">
        <f t="shared" si="0"/>
        <v>1689963.2612702521</v>
      </c>
    </row>
    <row r="23" spans="1:20" x14ac:dyDescent="0.2">
      <c r="A23" s="41" t="s">
        <v>1</v>
      </c>
      <c r="B23" s="35">
        <f>+'K-12 Educ'!G23*('Pop Data'!W23/'Pop Data'!X23)</f>
        <v>6030530.0992461378</v>
      </c>
      <c r="C23" s="41">
        <v>0</v>
      </c>
      <c r="D23" s="41">
        <v>0</v>
      </c>
      <c r="E23" s="35">
        <f>+Medicaid!J23*'Low Income Pop'!J23</f>
        <v>552487.72163195733</v>
      </c>
      <c r="F23" s="35">
        <f>+CHIP!E23*'Low Income Pop'!J23</f>
        <v>70076.798474683688</v>
      </c>
      <c r="G23" s="35">
        <f>+'Mental Health'!H23*'Pop Data'!AC23</f>
        <v>116595.23737494445</v>
      </c>
      <c r="H23" s="35">
        <f>+Immunizations!E23*'Pop Data'!AC23</f>
        <v>23800.266149334726</v>
      </c>
      <c r="I23" s="35">
        <f>+MCHBG!I23*'Pop Data'!AC23</f>
        <v>5747.4891042595636</v>
      </c>
      <c r="J23" s="35">
        <f>+'Title IV-E'!W23</f>
        <v>34223.466748623308</v>
      </c>
      <c r="K23" s="35">
        <f>+'CW - State and Local Share'!D23*'Pop Data'!AC23</f>
        <v>117962.73079624945</v>
      </c>
      <c r="L23" s="41">
        <v>0</v>
      </c>
      <c r="M23" s="35">
        <f>+'Title IV-B'!I23</f>
        <v>3443.6870989428539</v>
      </c>
      <c r="N23" s="35">
        <f>+'Title IV-D'!E23*'Pop Data'!AC23</f>
        <v>75251.803481172799</v>
      </c>
      <c r="O23" s="35">
        <f>+'Title XX'!G23*0.001</f>
        <v>10062.298427311618</v>
      </c>
      <c r="P23" s="35">
        <f>+TANF!E23*TANF!AB23</f>
        <v>126840.89599999999</v>
      </c>
      <c r="Q23" s="35">
        <f>+Nutrition!AK23</f>
        <v>289349.75663558237</v>
      </c>
      <c r="R23" s="35">
        <f>+'Juvenile Justice'!H23</f>
        <v>289424.61499999999</v>
      </c>
      <c r="S23" s="35">
        <f>+(+'Tax Credits'!O23*'Low Income Pop'!J23)+('Tax Credits'!P23*'Pop Data'!AC23)</f>
        <v>653793.34127217834</v>
      </c>
      <c r="T23" s="86">
        <f t="shared" si="0"/>
        <v>8399590.2074413784</v>
      </c>
    </row>
    <row r="24" spans="1:20" x14ac:dyDescent="0.2">
      <c r="A24" s="41" t="s">
        <v>2</v>
      </c>
      <c r="B24" s="35">
        <f>+'K-12 Educ'!G24*('Pop Data'!W24/'Pop Data'!X24)</f>
        <v>7233247.5741019864</v>
      </c>
      <c r="C24" s="41">
        <v>0</v>
      </c>
      <c r="D24" s="41">
        <v>0</v>
      </c>
      <c r="E24" s="35">
        <f>+Medicaid!J24*'Low Income Pop'!J24</f>
        <v>685225.44261831266</v>
      </c>
      <c r="F24" s="35">
        <f>+CHIP!E24*'Low Income Pop'!J24</f>
        <v>159531.5933885538</v>
      </c>
      <c r="G24" s="35">
        <f>+'Mental Health'!H24*'Pop Data'!AC24</f>
        <v>32476.104389248638</v>
      </c>
      <c r="H24" s="35">
        <f>+Immunizations!E24*'Pop Data'!AC24</f>
        <v>26270.059480604956</v>
      </c>
      <c r="I24" s="35">
        <f>+MCHBG!I24*'Pop Data'!AC24</f>
        <v>19209.950422143331</v>
      </c>
      <c r="J24" s="35">
        <f>+'Title IV-E'!W24</f>
        <v>29581.142020803971</v>
      </c>
      <c r="K24" s="35">
        <f>+'CW - State and Local Share'!D24*'Pop Data'!AC24</f>
        <v>187843.78893047382</v>
      </c>
      <c r="L24" s="41">
        <v>0</v>
      </c>
      <c r="M24" s="35">
        <f>+'Title IV-B'!I24</f>
        <v>3657.0997052852622</v>
      </c>
      <c r="N24" s="35">
        <f>+'Title IV-D'!E24*'Pop Data'!AC24</f>
        <v>62928.09792102981</v>
      </c>
      <c r="O24" s="35">
        <f>+'Title XX'!G24*0.001</f>
        <v>23170.013236388015</v>
      </c>
      <c r="P24" s="35">
        <f>+TANF!E24*TANF!AB24</f>
        <v>282076.97200000013</v>
      </c>
      <c r="Q24" s="35">
        <f>+Nutrition!AK24</f>
        <v>366747.74897555873</v>
      </c>
      <c r="R24" s="35">
        <f>+'Juvenile Justice'!H24</f>
        <v>96812.432000000001</v>
      </c>
      <c r="S24" s="35">
        <f>+(+'Tax Credits'!O24*'Low Income Pop'!J24)+('Tax Credits'!P24*'Pop Data'!AC24)</f>
        <v>623203.77957356931</v>
      </c>
      <c r="T24" s="86">
        <f t="shared" si="0"/>
        <v>9831981.7987639587</v>
      </c>
    </row>
    <row r="25" spans="1:20" x14ac:dyDescent="0.2">
      <c r="A25" s="41" t="s">
        <v>3</v>
      </c>
      <c r="B25" s="35">
        <f>+'K-12 Educ'!G25*('Pop Data'!W25/'Pop Data'!X25)</f>
        <v>8407787.7911049202</v>
      </c>
      <c r="C25" s="41">
        <v>0</v>
      </c>
      <c r="D25" s="41">
        <v>0</v>
      </c>
      <c r="E25" s="35">
        <f>+Medicaid!J25*'Low Income Pop'!J25</f>
        <v>931815.89314142487</v>
      </c>
      <c r="F25" s="35">
        <f>+CHIP!E25*'Low Income Pop'!J25</f>
        <v>20883.797795915569</v>
      </c>
      <c r="G25" s="35">
        <f>+'Mental Health'!H25*'Pop Data'!AC25</f>
        <v>72578.605513124872</v>
      </c>
      <c r="H25" s="35">
        <f>+Immunizations!E25*'Pop Data'!AC25</f>
        <v>38985.942849155887</v>
      </c>
      <c r="I25" s="35">
        <f>+MCHBG!I25*'Pop Data'!AC25</f>
        <v>18690.515852386772</v>
      </c>
      <c r="J25" s="35">
        <f>+'Title IV-E'!W25</f>
        <v>66606.418244433968</v>
      </c>
      <c r="K25" s="35">
        <f>+'CW - State and Local Share'!D25*'Pop Data'!AC25</f>
        <v>133858.37470873937</v>
      </c>
      <c r="L25" s="41">
        <v>0</v>
      </c>
      <c r="M25" s="35">
        <f>+'Title IV-B'!I25</f>
        <v>8928.4506266389162</v>
      </c>
      <c r="N25" s="35">
        <f>+'Title IV-D'!E25*'Pop Data'!AC25</f>
        <v>138717.16215221869</v>
      </c>
      <c r="O25" s="35">
        <f>+'Title XX'!G25*0.001</f>
        <v>35481.790915454498</v>
      </c>
      <c r="P25" s="35">
        <f>+TANF!E25*TANF!AB25</f>
        <v>319360.6160000001</v>
      </c>
      <c r="Q25" s="35">
        <f>+Nutrition!AK25</f>
        <v>745274.27276171162</v>
      </c>
      <c r="R25" s="35">
        <f>+'Juvenile Justice'!H25</f>
        <v>366539.67499999999</v>
      </c>
      <c r="S25" s="35">
        <f>+(+'Tax Credits'!O25*'Low Income Pop'!J25)+('Tax Credits'!P25*'Pop Data'!AC25)</f>
        <v>1321602.2286667894</v>
      </c>
      <c r="T25" s="86">
        <f t="shared" si="0"/>
        <v>12627111.535332918</v>
      </c>
    </row>
    <row r="26" spans="1:20" x14ac:dyDescent="0.2">
      <c r="A26" s="41" t="s">
        <v>4</v>
      </c>
      <c r="B26" s="35">
        <f>+'K-12 Educ'!G26*('Pop Data'!W26/'Pop Data'!X26)</f>
        <v>4606008.0254121209</v>
      </c>
      <c r="C26" s="41">
        <v>0</v>
      </c>
      <c r="D26" s="41">
        <v>0</v>
      </c>
      <c r="E26" s="35">
        <f>+Medicaid!J26*'Low Income Pop'!J26</f>
        <v>583217.56590565026</v>
      </c>
      <c r="F26" s="35">
        <f>+CHIP!E26*'Low Income Pop'!J26</f>
        <v>5561.633190576993</v>
      </c>
      <c r="G26" s="35">
        <f>+'Mental Health'!H26*'Pop Data'!AC26</f>
        <v>91243.602472796367</v>
      </c>
      <c r="H26" s="35">
        <f>+Immunizations!E26*'Pop Data'!AC26</f>
        <v>15656.49431720302</v>
      </c>
      <c r="I26" s="35">
        <f>+MCHBG!I26*'Pop Data'!AC26</f>
        <v>4917.9552553661488</v>
      </c>
      <c r="J26" s="35">
        <f>+'Title IV-E'!W26</f>
        <v>22694.716622739685</v>
      </c>
      <c r="K26" s="35">
        <f>+'CW - State and Local Share'!D26*'Pop Data'!AC26</f>
        <v>125100.99593072275</v>
      </c>
      <c r="L26" s="41">
        <v>0</v>
      </c>
      <c r="M26" s="35">
        <f>+'Title IV-B'!I26</f>
        <v>2701.6938393939354</v>
      </c>
      <c r="N26" s="35">
        <f>+'Title IV-D'!E26*'Pop Data'!AC26</f>
        <v>96851.543418161527</v>
      </c>
      <c r="O26" s="35">
        <f>+'Title XX'!G26*0.001</f>
        <v>5215.4320943334296</v>
      </c>
      <c r="P26" s="35">
        <f>+TANF!E26*TANF!AB26</f>
        <v>111176.34299999998</v>
      </c>
      <c r="Q26" s="35">
        <f>+Nutrition!AK26</f>
        <v>187714.34870301635</v>
      </c>
      <c r="R26" s="35">
        <f>+'Juvenile Justice'!H26</f>
        <v>89784.691999999995</v>
      </c>
      <c r="S26" s="35">
        <f>+(+'Tax Credits'!O26*'Low Income Pop'!J26)+('Tax Credits'!P26*'Pop Data'!AC26)</f>
        <v>592758.11329918704</v>
      </c>
      <c r="T26" s="86">
        <f t="shared" si="0"/>
        <v>6540603.1554612685</v>
      </c>
    </row>
    <row r="27" spans="1:20" x14ac:dyDescent="0.2">
      <c r="A27" s="41" t="s">
        <v>5</v>
      </c>
      <c r="B27" s="35">
        <f>+'K-12 Educ'!G27*('Pop Data'!W27/'Pop Data'!X27)</f>
        <v>1878158.0196839843</v>
      </c>
      <c r="C27" s="41">
        <v>0</v>
      </c>
      <c r="D27" s="41">
        <v>0</v>
      </c>
      <c r="E27" s="35">
        <f>+Medicaid!J27*'Low Income Pop'!J27</f>
        <v>381809.62037148362</v>
      </c>
      <c r="F27" s="35">
        <f>+CHIP!E27*'Low Income Pop'!J27</f>
        <v>62649.452194544225</v>
      </c>
      <c r="G27" s="35">
        <f>+'Mental Health'!H27*'Pop Data'!AC27</f>
        <v>33441.414552689079</v>
      </c>
      <c r="H27" s="35">
        <f>+Immunizations!E27*'Pop Data'!AC27</f>
        <v>16572.129256992514</v>
      </c>
      <c r="I27" s="35">
        <f>+MCHBG!I27*'Pop Data'!AC27</f>
        <v>5707.6907888152009</v>
      </c>
      <c r="J27" s="35">
        <f>+'Title IV-E'!W27</f>
        <v>7076.424379830225</v>
      </c>
      <c r="K27" s="35">
        <f>+'CW - State and Local Share'!D27*'Pop Data'!AC27</f>
        <v>17913.632561553022</v>
      </c>
      <c r="L27" s="41">
        <v>0</v>
      </c>
      <c r="M27" s="35">
        <f>+'Title IV-B'!I27</f>
        <v>2887.1059518694674</v>
      </c>
      <c r="N27" s="35">
        <f>+'Title IV-D'!E27*'Pop Data'!AC27</f>
        <v>18116.486700575446</v>
      </c>
      <c r="O27" s="35">
        <f>+'Title XX'!G27*0.001</f>
        <v>4750.9238550058035</v>
      </c>
      <c r="P27" s="35">
        <f>+TANF!E27*TANF!AB27</f>
        <v>15704.129999999992</v>
      </c>
      <c r="Q27" s="35">
        <f>+Nutrition!AK27</f>
        <v>255281.67203857598</v>
      </c>
      <c r="R27" s="35">
        <f>+'Juvenile Justice'!H27</f>
        <v>40599.4</v>
      </c>
      <c r="S27" s="35">
        <f>+(+'Tax Credits'!O27*'Low Income Pop'!J27)+('Tax Credits'!P27*'Pop Data'!AC27)</f>
        <v>545618.29953622818</v>
      </c>
      <c r="T27" s="86">
        <f t="shared" si="0"/>
        <v>3286286.4018721464</v>
      </c>
    </row>
    <row r="28" spans="1:20" x14ac:dyDescent="0.2">
      <c r="A28" s="41" t="s">
        <v>6</v>
      </c>
      <c r="B28" s="35">
        <f>+'K-12 Educ'!G28*('Pop Data'!W28/'Pop Data'!X28)</f>
        <v>4410243.9157284861</v>
      </c>
      <c r="C28" s="41">
        <v>0</v>
      </c>
      <c r="D28" s="41">
        <v>0</v>
      </c>
      <c r="E28" s="35">
        <f>+Medicaid!J28*'Low Income Pop'!J28</f>
        <v>697316.56016993895</v>
      </c>
      <c r="F28" s="35">
        <f>+CHIP!E28*'Low Income Pop'!J28</f>
        <v>44180.519551686011</v>
      </c>
      <c r="G28" s="35">
        <f>+'Mental Health'!H28*'Pop Data'!AC28</f>
        <v>27510.802760388175</v>
      </c>
      <c r="H28" s="35">
        <f>+Immunizations!E28*'Pop Data'!AC28</f>
        <v>22763.866829325783</v>
      </c>
      <c r="I28" s="35">
        <f>+MCHBG!I28*'Pop Data'!AC28</f>
        <v>7024.0318922674078</v>
      </c>
      <c r="J28" s="35">
        <f>+'Title IV-E'!W28</f>
        <v>25920.621200199508</v>
      </c>
      <c r="K28" s="35">
        <f>+'CW - State and Local Share'!D28*'Pop Data'!AC28</f>
        <v>82485.020754911922</v>
      </c>
      <c r="L28" s="41">
        <v>0</v>
      </c>
      <c r="M28" s="35">
        <f>+'Title IV-B'!I28</f>
        <v>4019.1116496981704</v>
      </c>
      <c r="N28" s="35">
        <f>+'Title IV-D'!E28*'Pop Data'!AC28</f>
        <v>47657.656813267073</v>
      </c>
      <c r="O28" s="35">
        <f>+'Title XX'!G28*0.001</f>
        <v>9807.6993632836184</v>
      </c>
      <c r="P28" s="35">
        <f>+TANF!E28*TANF!AB28</f>
        <v>58934.399999999994</v>
      </c>
      <c r="Q28" s="35">
        <f>+Nutrition!AK28</f>
        <v>350848.27421850717</v>
      </c>
      <c r="R28" s="35">
        <f>+'Juvenile Justice'!H28</f>
        <v>101318.74</v>
      </c>
      <c r="S28" s="35">
        <f>+(+'Tax Credits'!O28*'Low Income Pop'!J28)+('Tax Credits'!P28*'Pop Data'!AC28)</f>
        <v>706735.29009916668</v>
      </c>
      <c r="T28" s="86">
        <f t="shared" si="0"/>
        <v>6596766.5110311257</v>
      </c>
    </row>
    <row r="29" spans="1:20" x14ac:dyDescent="0.2">
      <c r="A29" s="41" t="s">
        <v>7</v>
      </c>
      <c r="B29" s="35">
        <f>+'K-12 Educ'!G29*('Pop Data'!W29/'Pop Data'!X29)</f>
        <v>741206.56139309134</v>
      </c>
      <c r="C29" s="41">
        <v>0</v>
      </c>
      <c r="D29" s="41">
        <v>0</v>
      </c>
      <c r="E29" s="35">
        <f>+Medicaid!J29*'Low Income Pop'!J29</f>
        <v>70441.295922072575</v>
      </c>
      <c r="F29" s="35">
        <f>+CHIP!E29*'Low Income Pop'!J29</f>
        <v>19305.165435712162</v>
      </c>
      <c r="G29" s="35">
        <f>+'Mental Health'!H29*'Pop Data'!AC29</f>
        <v>32683.644567919782</v>
      </c>
      <c r="H29" s="35">
        <f>+Immunizations!E29*'Pop Data'!AC29</f>
        <v>3225.9886446526712</v>
      </c>
      <c r="I29" s="35">
        <f>+MCHBG!I29*'Pop Data'!AC29</f>
        <v>1366.3667696188845</v>
      </c>
      <c r="J29" s="35">
        <f>+'Title IV-E'!W29</f>
        <v>3906.8431534372467</v>
      </c>
      <c r="K29" s="35">
        <f>+'CW - State and Local Share'!D29*'Pop Data'!AC29</f>
        <v>12106.844175150914</v>
      </c>
      <c r="L29" s="41">
        <v>0</v>
      </c>
      <c r="M29" s="35">
        <f>+'Title IV-B'!I29</f>
        <v>627.082300536248</v>
      </c>
      <c r="N29" s="35">
        <f>+'Title IV-D'!E29*'Pop Data'!AC29</f>
        <v>8705.3511127128568</v>
      </c>
      <c r="O29" s="35">
        <f>+'Title XX'!G29*0.001</f>
        <v>1054.1726512124549</v>
      </c>
      <c r="P29" s="35">
        <f>+TANF!E29*TANF!AB29</f>
        <v>9431.7519999999986</v>
      </c>
      <c r="Q29" s="35">
        <f>+Nutrition!AK29</f>
        <v>41847.301683088961</v>
      </c>
      <c r="R29" s="35">
        <f>+'Juvenile Justice'!H29</f>
        <v>30848.080000000002</v>
      </c>
      <c r="S29" s="35">
        <f>+(+'Tax Credits'!O29*'Low Income Pop'!J29)+('Tax Credits'!P29*'Pop Data'!AC29)</f>
        <v>100176.05364401778</v>
      </c>
      <c r="T29" s="86">
        <f t="shared" si="0"/>
        <v>1076932.503453224</v>
      </c>
    </row>
    <row r="30" spans="1:20" x14ac:dyDescent="0.2">
      <c r="A30" s="41" t="s">
        <v>8</v>
      </c>
      <c r="B30" s="35">
        <f>+'K-12 Educ'!G30*('Pop Data'!W30/'Pop Data'!X30)</f>
        <v>1627122.6892427725</v>
      </c>
      <c r="C30" s="41">
        <v>0</v>
      </c>
      <c r="D30" s="41">
        <v>0</v>
      </c>
      <c r="E30" s="35">
        <f>+Medicaid!J30*'Low Income Pop'!J30</f>
        <v>120291.40770172812</v>
      </c>
      <c r="F30" s="35">
        <f>+CHIP!E30*'Low Income Pop'!J30</f>
        <v>15872.771805687849</v>
      </c>
      <c r="G30" s="35">
        <f>+'Mental Health'!H30*'Pop Data'!AC30</f>
        <v>3816.8166767860685</v>
      </c>
      <c r="H30" s="35">
        <f>+Immunizations!E30*'Pop Data'!AC30</f>
        <v>8008.4476227619471</v>
      </c>
      <c r="I30" s="35">
        <f>+MCHBG!I30*'Pop Data'!AC30</f>
        <v>2042.7468899860814</v>
      </c>
      <c r="J30" s="35">
        <f>+'Title IV-E'!W30</f>
        <v>9871.4975266667388</v>
      </c>
      <c r="K30" s="35">
        <f>+'CW - State and Local Share'!D30*'Pop Data'!AC30</f>
        <v>54120.826758451032</v>
      </c>
      <c r="L30" s="41">
        <v>0</v>
      </c>
      <c r="M30" s="35">
        <f>+'Title IV-B'!I30</f>
        <v>940.69547911263555</v>
      </c>
      <c r="N30" s="35">
        <f>+'Title IV-D'!E30*'Pop Data'!AC30</f>
        <v>18471.563258920385</v>
      </c>
      <c r="O30" s="35">
        <f>+'Title XX'!G30*0.001</f>
        <v>569.59110993888874</v>
      </c>
      <c r="P30" s="35">
        <f>+TANF!E30*TANF!AB30</f>
        <v>18674.063999999998</v>
      </c>
      <c r="Q30" s="35">
        <f>+Nutrition!AK30</f>
        <v>64292.27281501564</v>
      </c>
      <c r="R30" s="35">
        <f>+'Juvenile Justice'!H30</f>
        <v>86820.664000000004</v>
      </c>
      <c r="S30" s="35">
        <f>+(+'Tax Credits'!O30*'Low Income Pop'!J30)+('Tax Credits'!P30*'Pop Data'!AC30)</f>
        <v>214276.92272193517</v>
      </c>
      <c r="T30" s="86">
        <f t="shared" si="0"/>
        <v>2245192.9776097634</v>
      </c>
    </row>
    <row r="31" spans="1:20" x14ac:dyDescent="0.2">
      <c r="A31" s="41" t="s">
        <v>92</v>
      </c>
      <c r="B31" s="35">
        <f>+'K-12 Educ'!G31*('Pop Data'!W31/'Pop Data'!X31)</f>
        <v>1787747.6187418536</v>
      </c>
      <c r="C31" s="41">
        <v>0</v>
      </c>
      <c r="D31" s="41">
        <v>0</v>
      </c>
      <c r="E31" s="35">
        <f>+Medicaid!J31*'Low Income Pop'!J31</f>
        <v>183311.73440836172</v>
      </c>
      <c r="F31" s="35">
        <f>+CHIP!E31*'Low Income Pop'!J31</f>
        <v>12814.111664100485</v>
      </c>
      <c r="G31" s="35">
        <f>+'Mental Health'!H31*'Pop Data'!AC31</f>
        <v>10250.235552168251</v>
      </c>
      <c r="H31" s="35">
        <f>+Immunizations!E31*'Pop Data'!AC31</f>
        <v>12650.655917421031</v>
      </c>
      <c r="I31" s="35">
        <f>+MCHBG!I31*'Pop Data'!AC31</f>
        <v>926.17929158824154</v>
      </c>
      <c r="J31" s="35">
        <f>+'Title IV-E'!W31</f>
        <v>10601.852877846477</v>
      </c>
      <c r="K31" s="35">
        <f>+'CW - State and Local Share'!D31*'Pop Data'!AC31</f>
        <v>20389.374313386572</v>
      </c>
      <c r="L31" s="41">
        <v>0</v>
      </c>
      <c r="M31" s="35">
        <f>+'Title IV-B'!I31</f>
        <v>3121.9564527725215</v>
      </c>
      <c r="N31" s="35">
        <f>+'Title IV-D'!E31*'Pop Data'!AC31</f>
        <v>28230.617948319956</v>
      </c>
      <c r="O31" s="35">
        <f>+'Title XX'!G31*0.001</f>
        <v>2356.379365213505</v>
      </c>
      <c r="P31" s="35">
        <f>+TANF!E31*TANF!AB31</f>
        <v>21210.335999999996</v>
      </c>
      <c r="Q31" s="35">
        <f>+Nutrition!AK31</f>
        <v>126952.04352007482</v>
      </c>
      <c r="R31" s="35">
        <f>+'Juvenile Justice'!H31</f>
        <v>145949.32</v>
      </c>
      <c r="S31" s="35">
        <f>+(+'Tax Credits'!O31*'Low Income Pop'!J31)+('Tax Credits'!P31*'Pop Data'!AC31)</f>
        <v>362273.45469263347</v>
      </c>
      <c r="T31" s="86">
        <f t="shared" si="0"/>
        <v>2728785.8707457404</v>
      </c>
    </row>
    <row r="32" spans="1:20" x14ac:dyDescent="0.2">
      <c r="A32" s="41" t="s">
        <v>9</v>
      </c>
      <c r="B32" s="35">
        <f>+'K-12 Educ'!G32*('Pop Data'!W32/'Pop Data'!X32)</f>
        <v>1369147.2442322976</v>
      </c>
      <c r="C32" s="41">
        <v>0</v>
      </c>
      <c r="D32" s="41">
        <v>0</v>
      </c>
      <c r="E32" s="35">
        <f>+Medicaid!J32*'Low Income Pop'!J32</f>
        <v>124890.15292020251</v>
      </c>
      <c r="F32" s="35">
        <f>+CHIP!E32*'Low Income Pop'!J32</f>
        <v>6660.343721029737</v>
      </c>
      <c r="G32" s="35">
        <f>+'Mental Health'!H32*'Pop Data'!AC32</f>
        <v>16476.966016009446</v>
      </c>
      <c r="H32" s="35">
        <f>+Immunizations!E32*'Pop Data'!AC32</f>
        <v>4133.4251102896224</v>
      </c>
      <c r="I32" s="35">
        <f>+MCHBG!I32*'Pop Data'!AC32</f>
        <v>2288.9221835540679</v>
      </c>
      <c r="J32" s="35">
        <f>+'Title IV-E'!W32</f>
        <v>5513.7722642992276</v>
      </c>
      <c r="K32" s="35">
        <f>+'CW - State and Local Share'!D32*'Pop Data'!AC32</f>
        <v>13357.415689128218</v>
      </c>
      <c r="L32" s="41">
        <v>0</v>
      </c>
      <c r="M32" s="35">
        <f>+'Title IV-B'!I32</f>
        <v>553.20321559585943</v>
      </c>
      <c r="N32" s="35">
        <f>+'Title IV-D'!E32*'Pop Data'!AC32</f>
        <v>12309.248260806286</v>
      </c>
      <c r="O32" s="35">
        <f>+'Title XX'!G32*0.001</f>
        <v>771.99776274225837</v>
      </c>
      <c r="P32" s="35">
        <f>+TANF!E32*TANF!AB32</f>
        <v>16043.895000000006</v>
      </c>
      <c r="Q32" s="35">
        <f>+Nutrition!AK32</f>
        <v>43304.722543975833</v>
      </c>
      <c r="R32" s="35">
        <f>+'Juvenile Justice'!H32</f>
        <v>21417.8</v>
      </c>
      <c r="S32" s="35">
        <f>+(+'Tax Credits'!O32*'Low Income Pop'!J32)+('Tax Credits'!P32*'Pop Data'!AC32)</f>
        <v>124200.67830123453</v>
      </c>
      <c r="T32" s="86">
        <f t="shared" si="0"/>
        <v>1761069.7872211654</v>
      </c>
    </row>
    <row r="33" spans="1:20" x14ac:dyDescent="0.2">
      <c r="A33" s="41" t="s">
        <v>10</v>
      </c>
      <c r="B33" s="35">
        <f>+'K-12 Educ'!G33*('Pop Data'!W33/'Pop Data'!X33)</f>
        <v>11645421.520018227</v>
      </c>
      <c r="C33" s="41">
        <v>0</v>
      </c>
      <c r="D33" s="41">
        <v>0</v>
      </c>
      <c r="E33" s="35">
        <f>+Medicaid!J33*'Low Income Pop'!J33</f>
        <v>762979.43947818689</v>
      </c>
      <c r="F33" s="35">
        <f>+CHIP!E33*'Low Income Pop'!J33</f>
        <v>304235.78165595408</v>
      </c>
      <c r="G33" s="35">
        <f>+'Mental Health'!H33*'Pop Data'!AC33</f>
        <v>114455.7397351128</v>
      </c>
      <c r="H33" s="35">
        <f>+Immunizations!E33*'Pop Data'!AC33</f>
        <v>28536.635369886953</v>
      </c>
      <c r="I33" s="35">
        <f>+MCHBG!I33*'Pop Data'!AC33</f>
        <v>33044.001261421326</v>
      </c>
      <c r="J33" s="35">
        <f>+'Title IV-E'!W33</f>
        <v>30900.563554860288</v>
      </c>
      <c r="K33" s="35">
        <f>+'CW - State and Local Share'!D33*'Pop Data'!AC33</f>
        <v>229135.84514830358</v>
      </c>
      <c r="L33" s="41">
        <v>0</v>
      </c>
      <c r="M33" s="35">
        <f>+'Title IV-B'!I33</f>
        <v>3040.5513023742233</v>
      </c>
      <c r="N33" s="35">
        <f>+'Title IV-D'!E33*'Pop Data'!AC33</f>
        <v>164922.66309643188</v>
      </c>
      <c r="O33" s="35">
        <f>+'Title XX'!G33*0.001</f>
        <v>10812.647209801127</v>
      </c>
      <c r="P33" s="35">
        <f>+TANF!E33*TANF!AB33</f>
        <v>240582.84</v>
      </c>
      <c r="Q33" s="35">
        <f>+Nutrition!AK33</f>
        <v>338421.89010459447</v>
      </c>
      <c r="R33" s="35">
        <f>+'Juvenile Justice'!H33</f>
        <v>198891.66500000001</v>
      </c>
      <c r="S33" s="35">
        <f>+(+'Tax Credits'!O33*'Low Income Pop'!J33)+('Tax Credits'!P33*'Pop Data'!AC33)</f>
        <v>978893.20923522138</v>
      </c>
      <c r="T33" s="86">
        <f t="shared" si="0"/>
        <v>15084274.992170375</v>
      </c>
    </row>
    <row r="34" spans="1:20" x14ac:dyDescent="0.2">
      <c r="A34" s="41" t="s">
        <v>11</v>
      </c>
      <c r="B34" s="35">
        <f>+'K-12 Educ'!G34*('Pop Data'!W34/'Pop Data'!X34)</f>
        <v>1591433.0499149866</v>
      </c>
      <c r="C34" s="41">
        <v>0</v>
      </c>
      <c r="D34" s="41">
        <v>0</v>
      </c>
      <c r="E34" s="35">
        <f>+Medicaid!J34*'Low Income Pop'!J34</f>
        <v>462801.32398061623</v>
      </c>
      <c r="F34" s="35">
        <f>+CHIP!E34*'Low Income Pop'!J34</f>
        <v>39467.709030548045</v>
      </c>
      <c r="G34" s="35">
        <f>+'Mental Health'!H34*'Pop Data'!AC34</f>
        <v>47302.805369701542</v>
      </c>
      <c r="H34" s="35">
        <f>+Immunizations!E34*'Pop Data'!AC34</f>
        <v>13050.216266224375</v>
      </c>
      <c r="I34" s="35">
        <f>+MCHBG!I34*'Pop Data'!AC34</f>
        <v>2348.9059060982577</v>
      </c>
      <c r="J34" s="35">
        <f>+'Title IV-E'!W34</f>
        <v>9391.5875550285546</v>
      </c>
      <c r="K34" s="35">
        <f>+'CW - State and Local Share'!D34*'Pop Data'!AC34</f>
        <v>11959.297131649439</v>
      </c>
      <c r="L34" s="41">
        <v>0</v>
      </c>
      <c r="M34" s="35">
        <f>+'Title IV-B'!I34</f>
        <v>1992.6631306783661</v>
      </c>
      <c r="N34" s="35">
        <f>+'Title IV-D'!E34*'Pop Data'!AC34</f>
        <v>23069.518802897121</v>
      </c>
      <c r="O34" s="35">
        <f>+'Title XX'!G34*0.001</f>
        <v>1408.5883470436131</v>
      </c>
      <c r="P34" s="35">
        <f>+TANF!E34*TANF!AB34</f>
        <v>38997.219999999994</v>
      </c>
      <c r="Q34" s="35">
        <f>+Nutrition!AK34</f>
        <v>154583.98307171284</v>
      </c>
      <c r="R34" s="35">
        <f>+'Juvenile Justice'!H34</f>
        <v>93846.106</v>
      </c>
      <c r="S34" s="35">
        <f>+(+'Tax Credits'!O34*'Low Income Pop'!J34)+('Tax Credits'!P34*'Pop Data'!AC34)</f>
        <v>278332.77976612176</v>
      </c>
      <c r="T34" s="86">
        <f t="shared" si="0"/>
        <v>2769985.754273307</v>
      </c>
    </row>
    <row r="35" spans="1:20" s="23" customFormat="1" x14ac:dyDescent="0.2">
      <c r="A35" s="42" t="s">
        <v>12</v>
      </c>
      <c r="B35" s="37">
        <f>+'K-12 Educ'!G35*('Pop Data'!W35/'Pop Data'!X35)</f>
        <v>25579229.733425517</v>
      </c>
      <c r="C35" s="42">
        <v>0</v>
      </c>
      <c r="D35" s="42">
        <v>0</v>
      </c>
      <c r="E35" s="37">
        <f>+Medicaid!J35*'Low Income Pop'!J35</f>
        <v>2334880.4464027705</v>
      </c>
      <c r="F35" s="37">
        <f>+CHIP!E35*'Low Income Pop'!J35</f>
        <v>267549.82109512732</v>
      </c>
      <c r="G35" s="37">
        <f>+'Mental Health'!H35*'Pop Data'!AC35</f>
        <v>258490.07924690357</v>
      </c>
      <c r="H35" s="37">
        <f>+Immunizations!E35*'Pop Data'!AC35</f>
        <v>88624.42833849258</v>
      </c>
      <c r="I35" s="37">
        <f>+MCHBG!I35*'Pop Data'!AC35</f>
        <v>63776.611574044946</v>
      </c>
      <c r="J35" s="37">
        <f>+'Title IV-E'!W35</f>
        <v>211117.61557628462</v>
      </c>
      <c r="K35" s="37">
        <f>+'CW - State and Local Share'!D35*'Pop Data'!AC35</f>
        <v>599650.50617125258</v>
      </c>
      <c r="L35" s="42">
        <v>0</v>
      </c>
      <c r="M35" s="37">
        <f>+'Title IV-B'!I35</f>
        <v>11261.472545361352</v>
      </c>
      <c r="N35" s="37">
        <f>+'Title IV-D'!E35*'Pop Data'!AC35</f>
        <v>218286.72498788455</v>
      </c>
      <c r="O35" s="37">
        <f>+'Title XX'!G35*0.001</f>
        <v>46728.253159962005</v>
      </c>
      <c r="P35" s="37">
        <f>+TANF!E35*TANF!AB35</f>
        <v>1178377.3760000002</v>
      </c>
      <c r="Q35" s="37">
        <f>+Nutrition!AK35</f>
        <v>1393006.9051771434</v>
      </c>
      <c r="R35" s="37">
        <f>+'Juvenile Justice'!H35</f>
        <v>761172.15700000001</v>
      </c>
      <c r="S35" s="37">
        <f>+(+'Tax Credits'!O35*'Low Income Pop'!J35)+('Tax Credits'!P35*'Pop Data'!AC35)</f>
        <v>2958809.1741848155</v>
      </c>
      <c r="T35" s="108">
        <f t="shared" si="0"/>
        <v>35970961.304885566</v>
      </c>
    </row>
    <row r="36" spans="1:20" x14ac:dyDescent="0.2">
      <c r="A36" s="41" t="s">
        <v>13</v>
      </c>
      <c r="B36" s="35">
        <f>+'K-12 Educ'!G36*('Pop Data'!W36/'Pop Data'!X36)</f>
        <v>5815830.0472534448</v>
      </c>
      <c r="C36" s="41">
        <v>0</v>
      </c>
      <c r="D36" s="41">
        <v>0</v>
      </c>
      <c r="E36" s="35">
        <f>+Medicaid!J36*'Low Income Pop'!J36</f>
        <v>1012585.8072969987</v>
      </c>
      <c r="F36" s="35">
        <f>+CHIP!E36*'Low Income Pop'!J36</f>
        <v>109898.41393336338</v>
      </c>
      <c r="G36" s="35">
        <f>+'Mental Health'!H36*'Pop Data'!AC36</f>
        <v>222167.19124031646</v>
      </c>
      <c r="H36" s="35">
        <f>+Immunizations!E36*'Pop Data'!AC36</f>
        <v>37311.780258399202</v>
      </c>
      <c r="I36" s="35">
        <f>+MCHBG!I36*'Pop Data'!AC36</f>
        <v>14580.823683468123</v>
      </c>
      <c r="J36" s="35">
        <f>+'Title IV-E'!W36</f>
        <v>33925.87676109805</v>
      </c>
      <c r="K36" s="35">
        <f>+'CW - State and Local Share'!D36*'Pop Data'!AC36</f>
        <v>76623.565550039188</v>
      </c>
      <c r="L36" s="41">
        <v>0</v>
      </c>
      <c r="M36" s="35">
        <f>+'Title IV-B'!I36</f>
        <v>8001.5493032184622</v>
      </c>
      <c r="N36" s="35">
        <f>+'Title IV-D'!E36*'Pop Data'!AC36</f>
        <v>84755.359638718612</v>
      </c>
      <c r="O36" s="35">
        <f>+'Title XX'!G36*0.001</f>
        <v>6729.4445964127908</v>
      </c>
      <c r="P36" s="35">
        <f>+TANF!E36*TANF!AB36</f>
        <v>126798.34300000005</v>
      </c>
      <c r="Q36" s="35">
        <f>+Nutrition!AK36</f>
        <v>586920.64170795248</v>
      </c>
      <c r="R36" s="35">
        <f>+'Juvenile Justice'!H36</f>
        <v>94211.25</v>
      </c>
      <c r="S36" s="35">
        <f>+(+'Tax Credits'!O36*'Low Income Pop'!J36)+('Tax Credits'!P36*'Pop Data'!AC36)</f>
        <v>1318353.0743786641</v>
      </c>
      <c r="T36" s="86">
        <f t="shared" ref="T36:T53" si="1">SUM(B36:S36)</f>
        <v>9548693.1686020959</v>
      </c>
    </row>
    <row r="37" spans="1:20" x14ac:dyDescent="0.2">
      <c r="A37" s="41" t="s">
        <v>14</v>
      </c>
      <c r="B37" s="35">
        <f>+'K-12 Educ'!G37*('Pop Data'!W37/'Pop Data'!X37)</f>
        <v>561617.96404378838</v>
      </c>
      <c r="C37" s="41">
        <v>0</v>
      </c>
      <c r="D37" s="41">
        <v>0</v>
      </c>
      <c r="E37" s="35">
        <f>+Medicaid!J37*'Low Income Pop'!J37</f>
        <v>44910.56527522119</v>
      </c>
      <c r="F37" s="35">
        <f>+CHIP!E37*'Low Income Pop'!J37</f>
        <v>7146.8440116382635</v>
      </c>
      <c r="G37" s="35">
        <f>+'Mental Health'!H37*'Pop Data'!AC37</f>
        <v>1120.5473082838687</v>
      </c>
      <c r="H37" s="35">
        <f>+Immunizations!E37*'Pop Data'!AC37</f>
        <v>2592.1590001552313</v>
      </c>
      <c r="I37" s="35">
        <f>+MCHBG!I37*'Pop Data'!AC37</f>
        <v>966.26371592673092</v>
      </c>
      <c r="J37" s="35">
        <f>+'Title IV-E'!W37</f>
        <v>5540.8746205112275</v>
      </c>
      <c r="K37" s="35">
        <f>+'CW - State and Local Share'!D37*'Pop Data'!AC37</f>
        <v>8023.292895581083</v>
      </c>
      <c r="L37" s="41">
        <v>0</v>
      </c>
      <c r="M37" s="35">
        <f>+'Title IV-B'!I37</f>
        <v>377.61738469347222</v>
      </c>
      <c r="N37" s="35">
        <f>+'Title IV-D'!E37*'Pop Data'!AC37</f>
        <v>8313.931937545276</v>
      </c>
      <c r="O37" s="35">
        <f>+'Title XX'!G37*0.001</f>
        <v>252.1624584650115</v>
      </c>
      <c r="P37" s="35">
        <f>+TANF!E37*TANF!AB37</f>
        <v>6870.1920000000018</v>
      </c>
      <c r="Q37" s="35">
        <f>+Nutrition!AK37</f>
        <v>19450.77743592456</v>
      </c>
      <c r="R37" s="35">
        <f>+'Juvenile Justice'!H37</f>
        <v>20483.552</v>
      </c>
      <c r="S37" s="35">
        <f>+(+'Tax Credits'!O37*'Low Income Pop'!J37)+('Tax Credits'!P37*'Pop Data'!AC37)</f>
        <v>66383.05131119088</v>
      </c>
      <c r="T37" s="86">
        <f t="shared" si="1"/>
        <v>754049.7953989252</v>
      </c>
    </row>
    <row r="38" spans="1:20" x14ac:dyDescent="0.2">
      <c r="A38" s="41" t="s">
        <v>15</v>
      </c>
      <c r="B38" s="35">
        <f>+'K-12 Educ'!G38*('Pop Data'!W38/'Pop Data'!X38)</f>
        <v>10332558.81537766</v>
      </c>
      <c r="C38" s="41">
        <v>0</v>
      </c>
      <c r="D38" s="41">
        <v>0</v>
      </c>
      <c r="E38" s="35">
        <f>+Medicaid!J38*'Low Income Pop'!J38</f>
        <v>921360.31603633962</v>
      </c>
      <c r="F38" s="35">
        <f>+CHIP!E38*'Low Income Pop'!J38</f>
        <v>125313.21697929366</v>
      </c>
      <c r="G38" s="35">
        <f>+'Mental Health'!H38*'Pop Data'!AC38</f>
        <v>132000.96682808886</v>
      </c>
      <c r="H38" s="35">
        <f>+Immunizations!E38*'Pop Data'!AC38</f>
        <v>40515.929733822537</v>
      </c>
      <c r="I38" s="35">
        <f>+MCHBG!I38*'Pop Data'!AC38</f>
        <v>20488.175208370096</v>
      </c>
      <c r="J38" s="35">
        <f>+'Title IV-E'!W38</f>
        <v>104618.45797190574</v>
      </c>
      <c r="K38" s="35">
        <f>+'CW - State and Local Share'!D38*'Pop Data'!AC38</f>
        <v>313377.50326804258</v>
      </c>
      <c r="L38" s="41">
        <v>0</v>
      </c>
      <c r="M38" s="35">
        <f>+'Title IV-B'!I38</f>
        <v>6142.7020212319021</v>
      </c>
      <c r="N38" s="35">
        <f>+'Title IV-D'!E38*'Pop Data'!AC38</f>
        <v>142251.31231149158</v>
      </c>
      <c r="O38" s="35">
        <f>+'Title XX'!G38*0.001</f>
        <v>5283.3277498755378</v>
      </c>
      <c r="P38" s="35">
        <f>+TANF!E38*TANF!AB38</f>
        <v>278815.94400000002</v>
      </c>
      <c r="Q38" s="35">
        <f>+Nutrition!AK38</f>
        <v>818556.8611759902</v>
      </c>
      <c r="R38" s="35">
        <f>+'Juvenile Justice'!H38</f>
        <v>507495.98000000004</v>
      </c>
      <c r="S38" s="35">
        <f>+(+'Tax Credits'!O38*'Low Income Pop'!J38)+('Tax Credits'!P38*'Pop Data'!AC38)</f>
        <v>1351676.503121125</v>
      </c>
      <c r="T38" s="86">
        <f t="shared" si="1"/>
        <v>15100456.011783237</v>
      </c>
    </row>
    <row r="39" spans="1:20" x14ac:dyDescent="0.2">
      <c r="A39" s="41" t="s">
        <v>16</v>
      </c>
      <c r="B39" s="35">
        <f>+'K-12 Educ'!G39*('Pop Data'!W39/'Pop Data'!X39)</f>
        <v>2464734.4114708374</v>
      </c>
      <c r="C39" s="41">
        <v>0</v>
      </c>
      <c r="D39" s="41">
        <v>0</v>
      </c>
      <c r="E39" s="35">
        <f>+Medicaid!J39*'Low Income Pop'!J39</f>
        <v>427404.48257680831</v>
      </c>
      <c r="F39" s="35">
        <f>+CHIP!E39*'Low Income Pop'!J39</f>
        <v>40353.299522161506</v>
      </c>
      <c r="G39" s="35">
        <f>+'Mental Health'!H39*'Pop Data'!AC39</f>
        <v>7210.2916948919574</v>
      </c>
      <c r="H39" s="35">
        <f>+Immunizations!E39*'Pop Data'!AC39</f>
        <v>21124.001762141241</v>
      </c>
      <c r="I39" s="35">
        <f>+MCHBG!I39*'Pop Data'!AC39</f>
        <v>4381.0729550697015</v>
      </c>
      <c r="J39" s="35">
        <f>+'Title IV-E'!W39</f>
        <v>11608.56100915654</v>
      </c>
      <c r="K39" s="35">
        <f>+'CW - State and Local Share'!D39*'Pop Data'!AC39</f>
        <v>35457.689057494274</v>
      </c>
      <c r="L39" s="41">
        <v>0</v>
      </c>
      <c r="M39" s="35">
        <f>+'Title IV-B'!I39</f>
        <v>2173.4112557028384</v>
      </c>
      <c r="N39" s="35">
        <f>+'Title IV-D'!E39*'Pop Data'!AC39</f>
        <v>41917.461992845892</v>
      </c>
      <c r="O39" s="35">
        <f>+'Title XX'!G39*0.001</f>
        <v>4484.8487149999983</v>
      </c>
      <c r="P39" s="35">
        <f>+TANF!E39*TANF!AB39</f>
        <v>41151.119999999995</v>
      </c>
      <c r="Q39" s="35">
        <f>+Nutrition!AK39</f>
        <v>229174.20113652502</v>
      </c>
      <c r="R39" s="35">
        <f>+'Juvenile Justice'!H39</f>
        <v>88291.792000000001</v>
      </c>
      <c r="S39" s="35">
        <f>+(+'Tax Credits'!O39*'Low Income Pop'!J39)+('Tax Credits'!P39*'Pop Data'!AC39)</f>
        <v>494755.57196372136</v>
      </c>
      <c r="T39" s="86">
        <f t="shared" si="1"/>
        <v>3914222.2171123559</v>
      </c>
    </row>
    <row r="40" spans="1:20" x14ac:dyDescent="0.2">
      <c r="A40" s="41" t="s">
        <v>17</v>
      </c>
      <c r="B40" s="35">
        <f>+'K-12 Educ'!G40*('Pop Data'!W40/'Pop Data'!X40)</f>
        <v>2670196.7275318895</v>
      </c>
      <c r="C40" s="41">
        <v>0</v>
      </c>
      <c r="D40" s="41">
        <v>0</v>
      </c>
      <c r="E40" s="35">
        <f>+Medicaid!J40*'Low Income Pop'!J40</f>
        <v>271467.05447678803</v>
      </c>
      <c r="F40" s="35">
        <f>+CHIP!E40*'Low Income Pop'!J40</f>
        <v>52642.72423920899</v>
      </c>
      <c r="G40" s="35">
        <f>+'Mental Health'!H40*'Pop Data'!AC40</f>
        <v>51392.600507429539</v>
      </c>
      <c r="H40" s="35">
        <f>+Immunizations!E40*'Pop Data'!AC40</f>
        <v>13199.687697672851</v>
      </c>
      <c r="I40" s="35">
        <f>+MCHBG!I40*'Pop Data'!AC40</f>
        <v>14027.654425498242</v>
      </c>
      <c r="J40" s="35">
        <f>+'Title IV-E'!W40</f>
        <v>33662.785050976956</v>
      </c>
      <c r="K40" s="35">
        <f>+'CW - State and Local Share'!D40*'Pop Data'!AC40</f>
        <v>68996.999637472341</v>
      </c>
      <c r="L40" s="41">
        <v>0</v>
      </c>
      <c r="M40" s="35">
        <f>+'Title IV-B'!I40</f>
        <v>2776.6921302919709</v>
      </c>
      <c r="N40" s="35">
        <f>+'Title IV-D'!E40*'Pop Data'!AC40</f>
        <v>39517.848145066833</v>
      </c>
      <c r="O40" s="35">
        <f>+'Title XX'!G40*0.001</f>
        <v>5116.5107940000007</v>
      </c>
      <c r="P40" s="35">
        <f>+TANF!E40*TANF!AB40</f>
        <v>86645.664000000004</v>
      </c>
      <c r="Q40" s="35">
        <f>+Nutrition!AK40</f>
        <v>307145.20585146127</v>
      </c>
      <c r="R40" s="35">
        <f>+'Juvenile Justice'!H40</f>
        <v>109727.51000000001</v>
      </c>
      <c r="S40" s="35">
        <f>+(+'Tax Credits'!O40*'Low Income Pop'!J40)+('Tax Credits'!P40*'Pop Data'!AC40)</f>
        <v>404489.51124497876</v>
      </c>
      <c r="T40" s="86">
        <f t="shared" si="1"/>
        <v>4131005.1757327346</v>
      </c>
    </row>
    <row r="41" spans="1:20" x14ac:dyDescent="0.2">
      <c r="A41" s="41" t="s">
        <v>18</v>
      </c>
      <c r="B41" s="35">
        <f>+'K-12 Educ'!G41*('Pop Data'!W41/'Pop Data'!X41)</f>
        <v>11759532.684968138</v>
      </c>
      <c r="C41" s="41">
        <v>0</v>
      </c>
      <c r="D41" s="41">
        <v>0</v>
      </c>
      <c r="E41" s="35">
        <f>+Medicaid!J41*'Low Income Pop'!J41</f>
        <v>1454347.0417125481</v>
      </c>
      <c r="F41" s="35">
        <f>+CHIP!E41*'Low Income Pop'!J41</f>
        <v>133180.68422259219</v>
      </c>
      <c r="G41" s="35">
        <f>+'Mental Health'!H41*'Pop Data'!AC41</f>
        <v>721956.11223956465</v>
      </c>
      <c r="H41" s="35">
        <f>+Immunizations!E41*'Pop Data'!AC41</f>
        <v>44615.630138087516</v>
      </c>
      <c r="I41" s="35">
        <f>+MCHBG!I41*'Pop Data'!AC41</f>
        <v>27942.48842674234</v>
      </c>
      <c r="J41" s="35">
        <f>+'Title IV-E'!W41</f>
        <v>107563.19790312211</v>
      </c>
      <c r="K41" s="35">
        <f>+'CW - State and Local Share'!D41*'Pop Data'!AC41</f>
        <v>458546.48807981057</v>
      </c>
      <c r="L41" s="41">
        <v>0</v>
      </c>
      <c r="M41" s="35">
        <f>+'Title IV-B'!I41</f>
        <v>9685.0316648188673</v>
      </c>
      <c r="N41" s="35">
        <f>+'Title IV-D'!E41*'Pop Data'!AC41</f>
        <v>143646.57753416276</v>
      </c>
      <c r="O41" s="35">
        <f>+'Title XX'!G41*0.001</f>
        <v>11524.684884266038</v>
      </c>
      <c r="P41" s="35">
        <f>+TANF!E41*TANF!AB41</f>
        <v>211765.55399999997</v>
      </c>
      <c r="Q41" s="35">
        <f>+Nutrition!AK41</f>
        <v>724648.04974593944</v>
      </c>
      <c r="R41" s="35">
        <f>+'Juvenile Justice'!H41</f>
        <v>473920.52500000002</v>
      </c>
      <c r="S41" s="35">
        <f>+(+'Tax Credits'!O41*'Low Income Pop'!J41)+('Tax Credits'!P41*'Pop Data'!AC41)</f>
        <v>1311322.4217036117</v>
      </c>
      <c r="T41" s="86">
        <f t="shared" si="1"/>
        <v>17594197.172223408</v>
      </c>
    </row>
    <row r="42" spans="1:20" x14ac:dyDescent="0.2">
      <c r="A42" s="41" t="s">
        <v>19</v>
      </c>
      <c r="B42" s="35">
        <f>+'K-12 Educ'!G42*('Pop Data'!W42/'Pop Data'!X42)</f>
        <v>1047772.2032531132</v>
      </c>
      <c r="C42" s="41">
        <v>0</v>
      </c>
      <c r="D42" s="41">
        <v>0</v>
      </c>
      <c r="E42" s="35">
        <f>+Medicaid!J42*'Low Income Pop'!J42</f>
        <v>158563.44907889998</v>
      </c>
      <c r="F42" s="35">
        <f>+CHIP!E42*'Low Income Pop'!J42</f>
        <v>18820.290620871863</v>
      </c>
      <c r="G42" s="35">
        <f>+'Mental Health'!H42*'Pop Data'!AC42</f>
        <v>0</v>
      </c>
      <c r="H42" s="35">
        <f>+Immunizations!E42*'Pop Data'!AC42</f>
        <v>5909.0689853793065</v>
      </c>
      <c r="I42" s="35">
        <f>+MCHBG!I42*'Pop Data'!AC42</f>
        <v>1273.2283685800603</v>
      </c>
      <c r="J42" s="35">
        <f>+'Title IV-E'!W42</f>
        <v>7250.8833879542099</v>
      </c>
      <c r="K42" s="35">
        <f>+'CW - State and Local Share'!D42*'Pop Data'!AC42</f>
        <v>39081.853086282877</v>
      </c>
      <c r="L42" s="41">
        <v>0</v>
      </c>
      <c r="M42" s="35">
        <f>+'Title IV-B'!I42</f>
        <v>681.14772406003203</v>
      </c>
      <c r="N42" s="35">
        <f>+'Title IV-D'!E42*'Pop Data'!AC42</f>
        <v>8728.4777155686133</v>
      </c>
      <c r="O42" s="35">
        <f>+'Title XX'!G42*0.001</f>
        <v>241.80614944396959</v>
      </c>
      <c r="P42" s="35">
        <f>+TANF!E42*TANF!AB42</f>
        <v>31731.719999999998</v>
      </c>
      <c r="Q42" s="35">
        <f>+Nutrition!AK42</f>
        <v>78034.013958587529</v>
      </c>
      <c r="R42" s="35">
        <f>+'Juvenile Justice'!H42</f>
        <v>35456.68</v>
      </c>
      <c r="S42" s="35">
        <f>+(+'Tax Credits'!O42*'Low Income Pop'!J42)+('Tax Credits'!P42*'Pop Data'!AC42)</f>
        <v>121312.36911925687</v>
      </c>
      <c r="T42" s="86">
        <f t="shared" si="1"/>
        <v>1554857.1914479989</v>
      </c>
    </row>
    <row r="43" spans="1:20" x14ac:dyDescent="0.2">
      <c r="A43" s="41" t="s">
        <v>20</v>
      </c>
      <c r="B43" s="35">
        <f>+'K-12 Educ'!G43*('Pop Data'!W43/'Pop Data'!X43)</f>
        <v>3389019.4875958078</v>
      </c>
      <c r="C43" s="41">
        <v>0</v>
      </c>
      <c r="D43" s="41">
        <v>0</v>
      </c>
      <c r="E43" s="35">
        <f>+Medicaid!J43*'Low Income Pop'!J43</f>
        <v>327186.94458639249</v>
      </c>
      <c r="F43" s="35">
        <f>+CHIP!E43*'Low Income Pop'!J43</f>
        <v>32642.179765281715</v>
      </c>
      <c r="G43" s="35">
        <f>+'Mental Health'!H43*'Pop Data'!AC43</f>
        <v>23565.034711378998</v>
      </c>
      <c r="H43" s="35">
        <f>+Immunizations!E43*'Pop Data'!AC43</f>
        <v>18718.852017168942</v>
      </c>
      <c r="I43" s="35">
        <f>+MCHBG!I43*'Pop Data'!AC43</f>
        <v>6122.4295484441109</v>
      </c>
      <c r="J43" s="35">
        <f>+'Title IV-E'!W43</f>
        <v>12909.307166226892</v>
      </c>
      <c r="K43" s="35">
        <f>+'CW - State and Local Share'!D43*'Pop Data'!AC43</f>
        <v>29887.170576526027</v>
      </c>
      <c r="L43" s="41">
        <v>0</v>
      </c>
      <c r="M43" s="35">
        <f>+'Title IV-B'!I43</f>
        <v>3458.742288217114</v>
      </c>
      <c r="N43" s="35">
        <f>+'Title IV-D'!E43*'Pop Data'!AC43</f>
        <v>33035.546180410893</v>
      </c>
      <c r="O43" s="35">
        <f>+'Title XX'!G43*0.001</f>
        <v>3080.4237252571052</v>
      </c>
      <c r="P43" s="35">
        <f>+TANF!E43*TANF!AB43</f>
        <v>31341.728999999985</v>
      </c>
      <c r="Q43" s="35">
        <f>+Nutrition!AK43</f>
        <v>314249.2200645057</v>
      </c>
      <c r="R43" s="35">
        <f>+'Juvenile Justice'!H43</f>
        <v>114412.74</v>
      </c>
      <c r="S43" s="35">
        <f>+(+'Tax Credits'!O43*'Low Income Pop'!J43)+('Tax Credits'!P43*'Pop Data'!AC43)</f>
        <v>642427.57735984132</v>
      </c>
      <c r="T43" s="86">
        <f t="shared" si="1"/>
        <v>4982057.3845854588</v>
      </c>
    </row>
    <row r="44" spans="1:20" x14ac:dyDescent="0.2">
      <c r="A44" s="41" t="s">
        <v>21</v>
      </c>
      <c r="B44" s="35">
        <f>+'K-12 Educ'!G44*('Pop Data'!W44/'Pop Data'!X44)</f>
        <v>565426.96771713567</v>
      </c>
      <c r="C44" s="41">
        <v>0</v>
      </c>
      <c r="D44" s="41">
        <v>0</v>
      </c>
      <c r="E44" s="35">
        <f>+Medicaid!J44*'Low Income Pop'!J44</f>
        <v>55910.702037132542</v>
      </c>
      <c r="F44" s="35">
        <f>+CHIP!E44*'Low Income Pop'!J44</f>
        <v>6196.8082058334767</v>
      </c>
      <c r="G44" s="35">
        <f>+'Mental Health'!H44*'Pop Data'!AC44</f>
        <v>6500.0315668164531</v>
      </c>
      <c r="H44" s="35">
        <f>+Immunizations!E44*'Pop Data'!AC44</f>
        <v>3839.230477055773</v>
      </c>
      <c r="I44" s="35">
        <f>+MCHBG!I44*'Pop Data'!AC44</f>
        <v>1034.798037899975</v>
      </c>
      <c r="J44" s="35">
        <f>+'Title IV-E'!W44</f>
        <v>2069.2656693621461</v>
      </c>
      <c r="K44" s="35">
        <f>+'CW - State and Local Share'!D44*'Pop Data'!AC44</f>
        <v>8863.4819193903095</v>
      </c>
      <c r="L44" s="41">
        <v>0</v>
      </c>
      <c r="M44" s="35">
        <f>+'Title IV-B'!I44</f>
        <v>509.04791116025535</v>
      </c>
      <c r="N44" s="35">
        <f>+'Title IV-D'!E44*'Pop Data'!AC44</f>
        <v>4403.8259970906456</v>
      </c>
      <c r="O44" s="35">
        <f>+'Title XX'!G44*0.001</f>
        <v>486.77861898458582</v>
      </c>
      <c r="P44" s="35">
        <f>+TANF!E44*TANF!AB44</f>
        <v>7133.652</v>
      </c>
      <c r="Q44" s="35">
        <f>+Nutrition!AK44</f>
        <v>34553.788925017427</v>
      </c>
      <c r="R44" s="35">
        <f>+'Juvenile Justice'!H44</f>
        <v>33688.448000000004</v>
      </c>
      <c r="S44" s="35">
        <f>+(+'Tax Credits'!O44*'Low Income Pop'!J44)+('Tax Credits'!P44*'Pop Data'!AC44)</f>
        <v>86074.485954429547</v>
      </c>
      <c r="T44" s="86">
        <f t="shared" si="1"/>
        <v>816691.31303730886</v>
      </c>
    </row>
    <row r="45" spans="1:20" x14ac:dyDescent="0.2">
      <c r="A45" s="41" t="s">
        <v>22</v>
      </c>
      <c r="B45" s="35">
        <f>+'K-12 Educ'!G45*('Pop Data'!W45/'Pop Data'!X45)</f>
        <v>4095770.965868698</v>
      </c>
      <c r="C45" s="41">
        <v>0</v>
      </c>
      <c r="D45" s="41">
        <v>0</v>
      </c>
      <c r="E45" s="35">
        <f>+Medicaid!J45*'Low Income Pop'!J45</f>
        <v>770932.67460897029</v>
      </c>
      <c r="F45" s="35">
        <f>+CHIP!E45*'Low Income Pop'!J45</f>
        <v>75440.755670029714</v>
      </c>
      <c r="G45" s="35">
        <f>+'Mental Health'!H45*'Pop Data'!AC45</f>
        <v>62697.206421004375</v>
      </c>
      <c r="H45" s="35">
        <f>+Immunizations!E45*'Pop Data'!AC45</f>
        <v>28127.477594227239</v>
      </c>
      <c r="I45" s="35">
        <f>+MCHBG!I45*'Pop Data'!AC45</f>
        <v>8575.8787018639687</v>
      </c>
      <c r="J45" s="35">
        <f>+'Title IV-E'!W45</f>
        <v>25159.289789790739</v>
      </c>
      <c r="K45" s="35">
        <f>+'CW - State and Local Share'!D45*'Pop Data'!AC45</f>
        <v>86040.808479293395</v>
      </c>
      <c r="L45" s="41">
        <v>0</v>
      </c>
      <c r="M45" s="35">
        <f>+'Title IV-B'!I45</f>
        <v>4491.4992056131159</v>
      </c>
      <c r="N45" s="35">
        <f>+'Title IV-D'!E45*'Pop Data'!AC45</f>
        <v>50141.452917505572</v>
      </c>
      <c r="O45" s="35">
        <f>+'Title XX'!G45*0.001</f>
        <v>4358.6310872164595</v>
      </c>
      <c r="P45" s="35">
        <f>+TANF!E45*TANF!AB45</f>
        <v>73513.872000000032</v>
      </c>
      <c r="Q45" s="35">
        <f>+Nutrition!AK45</f>
        <v>512045.40163822134</v>
      </c>
      <c r="R45" s="35">
        <f>+'Juvenile Justice'!H45</f>
        <v>87526.293000000005</v>
      </c>
      <c r="S45" s="35">
        <f>+(+'Tax Credits'!O45*'Low Income Pop'!J45)+('Tax Credits'!P45*'Pop Data'!AC45)</f>
        <v>910634.00795191061</v>
      </c>
      <c r="T45" s="86">
        <f t="shared" si="1"/>
        <v>6795456.2149343453</v>
      </c>
    </row>
    <row r="46" spans="1:20" x14ac:dyDescent="0.2">
      <c r="A46" s="41" t="s">
        <v>23</v>
      </c>
      <c r="B46" s="35">
        <f>+'K-12 Educ'!G46*('Pop Data'!W46/'Pop Data'!X46)</f>
        <v>20563240.167834923</v>
      </c>
      <c r="C46" s="41">
        <v>0</v>
      </c>
      <c r="D46" s="41">
        <v>0</v>
      </c>
      <c r="E46" s="35">
        <f>+Medicaid!J46*'Low Income Pop'!J46</f>
        <v>3404974.3863590639</v>
      </c>
      <c r="F46" s="35">
        <f>+CHIP!E46*'Low Income Pop'!J46</f>
        <v>345999.45763520844</v>
      </c>
      <c r="G46" s="35">
        <f>+'Mental Health'!H46*'Pop Data'!AC46</f>
        <v>40813.214561921122</v>
      </c>
      <c r="H46" s="35">
        <f>+Immunizations!E46*'Pop Data'!AC46</f>
        <v>135511.48272218363</v>
      </c>
      <c r="I46" s="35">
        <f>+MCHBG!I46*'Pop Data'!AC46</f>
        <v>25728.59393600385</v>
      </c>
      <c r="J46" s="35">
        <f>+'Title IV-E'!W46</f>
        <v>72661.005254413656</v>
      </c>
      <c r="K46" s="35">
        <f>+'CW - State and Local Share'!D46*'Pop Data'!AC46</f>
        <v>200367.7866405636</v>
      </c>
      <c r="L46" s="41">
        <v>0</v>
      </c>
      <c r="M46" s="35">
        <f>+'Title IV-B'!I46</f>
        <v>25932.522039789546</v>
      </c>
      <c r="N46" s="35">
        <f>+'Title IV-D'!E46*'Pop Data'!AC46</f>
        <v>177101.10841456309</v>
      </c>
      <c r="O46" s="35">
        <f>+'Title XX'!G46*0.001</f>
        <v>8521.3183333123907</v>
      </c>
      <c r="P46" s="35">
        <f>+TANF!E46*TANF!AB46</f>
        <v>206133.174</v>
      </c>
      <c r="Q46" s="35">
        <f>+Nutrition!AK46</f>
        <v>1452348.2026135719</v>
      </c>
      <c r="R46" s="35">
        <f>+'Juvenile Justice'!H46</f>
        <v>632181.28099999996</v>
      </c>
      <c r="S46" s="35">
        <f>+(+'Tax Credits'!O46*'Low Income Pop'!J46)+('Tax Credits'!P46*'Pop Data'!AC46)</f>
        <v>3891055.2631001845</v>
      </c>
      <c r="T46" s="86">
        <f t="shared" si="1"/>
        <v>31182568.964445703</v>
      </c>
    </row>
    <row r="47" spans="1:20" x14ac:dyDescent="0.2">
      <c r="A47" s="41" t="s">
        <v>24</v>
      </c>
      <c r="B47" s="35">
        <f>+'K-12 Educ'!G47*('Pop Data'!W47/'Pop Data'!X47)</f>
        <v>1955837.6257514968</v>
      </c>
      <c r="C47" s="41">
        <v>0</v>
      </c>
      <c r="D47" s="41">
        <v>0</v>
      </c>
      <c r="E47" s="35">
        <f>+Medicaid!J47*'Low Income Pop'!J47</f>
        <v>193463.39802600161</v>
      </c>
      <c r="F47" s="35">
        <f>+CHIP!E47*'Low Income Pop'!J47</f>
        <v>22457.861501724597</v>
      </c>
      <c r="G47" s="35">
        <f>+'Mental Health'!H47*'Pop Data'!AC47</f>
        <v>17356.408353761315</v>
      </c>
      <c r="H47" s="35">
        <f>+Immunizations!E47*'Pop Data'!AC47</f>
        <v>8917.7075579815591</v>
      </c>
      <c r="I47" s="35">
        <f>+MCHBG!I47*'Pop Data'!AC47</f>
        <v>5332.5317912096334</v>
      </c>
      <c r="J47" s="35">
        <f>+'Title IV-E'!W47</f>
        <v>11186.255940245863</v>
      </c>
      <c r="K47" s="35">
        <f>+'CW - State and Local Share'!D47*'Pop Data'!AC47</f>
        <v>26313.108086741475</v>
      </c>
      <c r="L47" s="41">
        <v>0</v>
      </c>
      <c r="M47" s="35">
        <f>+'Title IV-B'!I47</f>
        <v>2306.1986854805527</v>
      </c>
      <c r="N47" s="35">
        <f>+'Title IV-D'!E47*'Pop Data'!AC47</f>
        <v>17788.519658277513</v>
      </c>
      <c r="O47" s="35">
        <f>+'Title XX'!G47*0.001</f>
        <v>4001.9074659112453</v>
      </c>
      <c r="P47" s="35">
        <f>+TANF!E47*TANF!AB47</f>
        <v>25551.829999999994</v>
      </c>
      <c r="Q47" s="35">
        <f>+Nutrition!AK47</f>
        <v>104442.54375844673</v>
      </c>
      <c r="R47" s="35">
        <f>+'Juvenile Justice'!H47</f>
        <v>58864.728000000003</v>
      </c>
      <c r="S47" s="35">
        <f>+(+'Tax Credits'!O47*'Low Income Pop'!J47)+('Tax Credits'!P47*'Pop Data'!AC47)</f>
        <v>373950.50960675348</v>
      </c>
      <c r="T47" s="86">
        <f t="shared" si="1"/>
        <v>2827771.1341840331</v>
      </c>
    </row>
    <row r="48" spans="1:20" x14ac:dyDescent="0.2">
      <c r="A48" s="41" t="s">
        <v>25</v>
      </c>
      <c r="B48" s="35">
        <f>+'K-12 Educ'!G48*('Pop Data'!W48/'Pop Data'!X48)</f>
        <v>736720.4220495451</v>
      </c>
      <c r="C48" s="41">
        <v>0</v>
      </c>
      <c r="D48" s="41">
        <v>0</v>
      </c>
      <c r="E48" s="35">
        <f>+Medicaid!J48*'Low Income Pop'!J48</f>
        <v>118896.22720663267</v>
      </c>
      <c r="F48" s="35">
        <f>+CHIP!E48*'Low Income Pop'!J48</f>
        <v>2629.5493197278911</v>
      </c>
      <c r="G48" s="35">
        <f>+'Mental Health'!H48*'Pop Data'!AC48</f>
        <v>27867.983638695932</v>
      </c>
      <c r="H48" s="35">
        <f>+Immunizations!E48*'Pop Data'!AC48</f>
        <v>3272.8073287992838</v>
      </c>
      <c r="I48" s="35">
        <f>+MCHBG!I48*'Pop Data'!AC48</f>
        <v>1203.9261477115958</v>
      </c>
      <c r="J48" s="35">
        <f>+'Title IV-E'!W48</f>
        <v>6200.8454225863452</v>
      </c>
      <c r="K48" s="35">
        <f>+'CW - State and Local Share'!D48*'Pop Data'!AC48</f>
        <v>13546.335503545757</v>
      </c>
      <c r="L48" s="41">
        <v>0</v>
      </c>
      <c r="M48" s="35">
        <f>+'Title IV-B'!I48</f>
        <v>441.15906261199081</v>
      </c>
      <c r="N48" s="35">
        <f>+'Title IV-D'!E48*'Pop Data'!AC48</f>
        <v>8565.913425466515</v>
      </c>
      <c r="O48" s="35">
        <f>+'Title XX'!G48*0.001</f>
        <v>1614.6900120362848</v>
      </c>
      <c r="P48" s="35">
        <f>+TANF!E48*TANF!AB48</f>
        <v>15451.89</v>
      </c>
      <c r="Q48" s="35">
        <f>+Nutrition!AK48</f>
        <v>32703.587600428556</v>
      </c>
      <c r="R48" s="35">
        <f>+'Juvenile Justice'!H48</f>
        <v>8841.1</v>
      </c>
      <c r="S48" s="35">
        <f>+(+'Tax Credits'!O48*'Low Income Pop'!J48)+('Tax Credits'!P48*'Pop Data'!AC48)</f>
        <v>66821.081018455356</v>
      </c>
      <c r="T48" s="86">
        <f t="shared" si="1"/>
        <v>1044777.5177362431</v>
      </c>
    </row>
    <row r="49" spans="1:20" x14ac:dyDescent="0.2">
      <c r="A49" s="41" t="s">
        <v>26</v>
      </c>
      <c r="B49" s="35">
        <f>+'K-12 Educ'!G49*('Pop Data'!W49/'Pop Data'!X49)</f>
        <v>6608017.70775217</v>
      </c>
      <c r="C49" s="41">
        <v>0</v>
      </c>
      <c r="D49" s="41">
        <v>0</v>
      </c>
      <c r="E49" s="35">
        <f>+Medicaid!J49*'Low Income Pop'!J49</f>
        <v>575290.22761214629</v>
      </c>
      <c r="F49" s="35">
        <f>+CHIP!E49*'Low Income Pop'!J49</f>
        <v>81551.4146698267</v>
      </c>
      <c r="G49" s="35">
        <f>+'Mental Health'!H49*'Pop Data'!AC49</f>
        <v>42569.47926974982</v>
      </c>
      <c r="H49" s="35">
        <f>+Immunizations!E49*'Pop Data'!AC49</f>
        <v>23114.239535598743</v>
      </c>
      <c r="I49" s="35">
        <f>+MCHBG!I49*'Pop Data'!AC49</f>
        <v>6719.3738030814266</v>
      </c>
      <c r="J49" s="35">
        <f>+'Title IV-E'!W49</f>
        <v>34274.115027200947</v>
      </c>
      <c r="K49" s="35">
        <f>+'CW - State and Local Share'!D49*'Pop Data'!AC49</f>
        <v>165711.18694085375</v>
      </c>
      <c r="L49" s="41">
        <v>0</v>
      </c>
      <c r="M49" s="35">
        <f>+'Title IV-B'!I49</f>
        <v>3835.9539395533152</v>
      </c>
      <c r="N49" s="35">
        <f>+'Title IV-D'!E49*'Pop Data'!AC49</f>
        <v>54175.578139499557</v>
      </c>
      <c r="O49" s="35">
        <f>+'Title XX'!G49*0.001</f>
        <v>14449.261095836055</v>
      </c>
      <c r="P49" s="35">
        <f>+TANF!E49*TANF!AB49</f>
        <v>58910.54399999998</v>
      </c>
      <c r="Q49" s="35">
        <f>+Nutrition!AK49</f>
        <v>298166.03070507827</v>
      </c>
      <c r="R49" s="35">
        <f>+'Juvenile Justice'!H49</f>
        <v>479966.03399999999</v>
      </c>
      <c r="S49" s="35">
        <f>+(+'Tax Credits'!O49*'Low Income Pop'!J49)+('Tax Credits'!P49*'Pop Data'!AC49)</f>
        <v>958633.61200156156</v>
      </c>
      <c r="T49" s="86">
        <f t="shared" si="1"/>
        <v>9405384.7584921569</v>
      </c>
    </row>
    <row r="50" spans="1:20" x14ac:dyDescent="0.2">
      <c r="A50" s="41" t="s">
        <v>27</v>
      </c>
      <c r="B50" s="35">
        <f>+'K-12 Educ'!G50*('Pop Data'!W50/'Pop Data'!X50)</f>
        <v>5307421.2630023062</v>
      </c>
      <c r="C50" s="41">
        <v>0</v>
      </c>
      <c r="D50" s="41">
        <v>0</v>
      </c>
      <c r="E50" s="35">
        <f>+Medicaid!J50*'Low Income Pop'!J50</f>
        <v>646797.38755288103</v>
      </c>
      <c r="F50" s="35">
        <f>+CHIP!E50*'Low Income Pop'!J50</f>
        <v>21111.347333132049</v>
      </c>
      <c r="G50" s="35">
        <f>+'Mental Health'!H50*'Pop Data'!AC50</f>
        <v>54138.280304442662</v>
      </c>
      <c r="H50" s="35">
        <f>+Immunizations!E50*'Pop Data'!AC50</f>
        <v>37698.956003757805</v>
      </c>
      <c r="I50" s="35">
        <f>+MCHBG!I50*'Pop Data'!AC50</f>
        <v>5331.478253611589</v>
      </c>
      <c r="J50" s="35">
        <f>+'Title IV-E'!W50</f>
        <v>26987.869661518493</v>
      </c>
      <c r="K50" s="35">
        <f>+'CW - State and Local Share'!D50*'Pop Data'!AC50</f>
        <v>92364.446679331493</v>
      </c>
      <c r="L50" s="41">
        <v>0</v>
      </c>
      <c r="M50" s="35">
        <f>+'Title IV-B'!I50</f>
        <v>4422.5659770284947</v>
      </c>
      <c r="N50" s="35">
        <f>+'Title IV-D'!E50*'Pop Data'!AC50</f>
        <v>76932.780818780448</v>
      </c>
      <c r="O50" s="35">
        <f>+'Title XX'!G50*0.001</f>
        <v>10883.444487664759</v>
      </c>
      <c r="P50" s="35">
        <f>+TANF!E50*TANF!AB50</f>
        <v>215103.45999999993</v>
      </c>
      <c r="Q50" s="35">
        <f>+Nutrition!AK50</f>
        <v>410552.22267780226</v>
      </c>
      <c r="R50" s="35">
        <f>+'Juvenile Justice'!H50</f>
        <v>117655.91</v>
      </c>
      <c r="S50" s="35">
        <f>+(+'Tax Credits'!O50*'Low Income Pop'!J50)+('Tax Credits'!P50*'Pop Data'!AC50)</f>
        <v>691827.83382670209</v>
      </c>
      <c r="T50" s="86">
        <f t="shared" si="1"/>
        <v>7719229.2465789607</v>
      </c>
    </row>
    <row r="51" spans="1:20" x14ac:dyDescent="0.2">
      <c r="A51" s="41" t="s">
        <v>28</v>
      </c>
      <c r="B51" s="35">
        <f>+'K-12 Educ'!G51*('Pop Data'!W51/'Pop Data'!X51)</f>
        <v>1504579.2034260242</v>
      </c>
      <c r="C51" s="41">
        <v>0</v>
      </c>
      <c r="D51" s="41">
        <v>0</v>
      </c>
      <c r="E51" s="35">
        <f>+Medicaid!J51*'Low Income Pop'!J51</f>
        <v>204202.36301847402</v>
      </c>
      <c r="F51" s="35">
        <f>+CHIP!E51*'Low Income Pop'!J51</f>
        <v>18177.770287168223</v>
      </c>
      <c r="G51" s="35">
        <f>+'Mental Health'!H51*'Pop Data'!AC51</f>
        <v>1956.0542874972896</v>
      </c>
      <c r="H51" s="35">
        <f>+Immunizations!E51*'Pop Data'!AC51</f>
        <v>7461.9669327311403</v>
      </c>
      <c r="I51" s="35">
        <f>+MCHBG!I51*'Pop Data'!AC51</f>
        <v>5511.4956532583756</v>
      </c>
      <c r="J51" s="35">
        <f>+'Title IV-E'!W51</f>
        <v>10337.092958413295</v>
      </c>
      <c r="K51" s="35">
        <f>+'CW - State and Local Share'!D51*'Pop Data'!AC51</f>
        <v>47533.194002723663</v>
      </c>
      <c r="L51" s="41">
        <v>0</v>
      </c>
      <c r="M51" s="35">
        <f>+'Title IV-B'!I51</f>
        <v>1577.320396646976</v>
      </c>
      <c r="N51" s="35">
        <f>+'Title IV-D'!E51*'Pop Data'!AC51</f>
        <v>24461.855148278439</v>
      </c>
      <c r="O51" s="35">
        <f>+'Title XX'!G51*0.001</f>
        <v>3745.0403844723432</v>
      </c>
      <c r="P51" s="35">
        <f>+TANF!E51*TANF!AB51</f>
        <v>32463.342000000015</v>
      </c>
      <c r="Q51" s="35">
        <f>+Nutrition!AK51</f>
        <v>134586.79667513591</v>
      </c>
      <c r="R51" s="35">
        <f>+'Juvenile Justice'!H51</f>
        <v>69964.362999999998</v>
      </c>
      <c r="S51" s="35">
        <f>+(+'Tax Credits'!O51*'Low Income Pop'!J51)+('Tax Credits'!P51*'Pop Data'!AC51)</f>
        <v>205313.22726042301</v>
      </c>
      <c r="T51" s="86">
        <f t="shared" si="1"/>
        <v>2271871.0854312466</v>
      </c>
    </row>
    <row r="52" spans="1:20" x14ac:dyDescent="0.2">
      <c r="A52" s="41" t="s">
        <v>29</v>
      </c>
      <c r="B52" s="35">
        <f>+'K-12 Educ'!G52*('Pop Data'!W52/'Pop Data'!X52)</f>
        <v>4629012.7458101334</v>
      </c>
      <c r="C52" s="41">
        <v>0</v>
      </c>
      <c r="D52" s="41">
        <v>0</v>
      </c>
      <c r="E52" s="35">
        <f>+Medicaid!J52*'Low Income Pop'!J52</f>
        <v>331534.38041132543</v>
      </c>
      <c r="F52" s="35">
        <f>+CHIP!E52*'Low Income Pop'!J52</f>
        <v>38421.373293576966</v>
      </c>
      <c r="G52" s="35">
        <f>+'Mental Health'!H52*'Pop Data'!AC52</f>
        <v>7107.0447648245354</v>
      </c>
      <c r="H52" s="35">
        <f>+Immunizations!E52*'Pop Data'!AC52</f>
        <v>18950.282864278357</v>
      </c>
      <c r="I52" s="35">
        <f>+MCHBG!I52*'Pop Data'!AC52</f>
        <v>6260.7713471371635</v>
      </c>
      <c r="J52" s="35">
        <f>+'Title IV-E'!W52</f>
        <v>27327.589953664996</v>
      </c>
      <c r="K52" s="35">
        <f>+'CW - State and Local Share'!D52*'Pop Data'!AC52</f>
        <v>98662.480401227425</v>
      </c>
      <c r="L52" s="41">
        <v>0</v>
      </c>
      <c r="M52" s="35">
        <f>+'Title IV-B'!I52</f>
        <v>4010.3434068934976</v>
      </c>
      <c r="N52" s="35">
        <f>+'Title IV-D'!E52*'Pop Data'!AC52</f>
        <v>58032.552868680446</v>
      </c>
      <c r="O52" s="35">
        <f>+'Title XX'!G52*0.001</f>
        <v>6738.7002955521721</v>
      </c>
      <c r="P52" s="35">
        <f>+TANF!E52*TANF!AB52</f>
        <v>140186.481</v>
      </c>
      <c r="Q52" s="35">
        <f>+Nutrition!AK52</f>
        <v>289946.72382991435</v>
      </c>
      <c r="R52" s="35">
        <f>+'Juvenile Justice'!H52</f>
        <v>106203.72500000001</v>
      </c>
      <c r="S52" s="35">
        <f>+(+'Tax Credits'!O52*'Low Income Pop'!J52)+('Tax Credits'!P52*'Pop Data'!AC52)</f>
        <v>626062.00087388139</v>
      </c>
      <c r="T52" s="86">
        <f t="shared" si="1"/>
        <v>6388457.1961210882</v>
      </c>
    </row>
    <row r="53" spans="1:20" x14ac:dyDescent="0.2">
      <c r="A53" s="41" t="s">
        <v>30</v>
      </c>
      <c r="B53" s="35">
        <f>+'K-12 Educ'!G53*('Pop Data'!W53/'Pop Data'!X53)</f>
        <v>733951.54171891056</v>
      </c>
      <c r="C53" s="41">
        <v>0</v>
      </c>
      <c r="D53" s="41">
        <v>0</v>
      </c>
      <c r="E53" s="35">
        <f>+Medicaid!J53*'Low Income Pop'!J53</f>
        <v>37244.666938684706</v>
      </c>
      <c r="F53" s="35">
        <f>+CHIP!E53*'Low Income Pop'!J53</f>
        <v>4249.8576132419685</v>
      </c>
      <c r="G53" s="35">
        <f>+'Mental Health'!H53*'Pop Data'!AC53</f>
        <v>480.51935211118052</v>
      </c>
      <c r="H53" s="35">
        <f>+Immunizations!E53*'Pop Data'!AC53</f>
        <v>2429.2255789357146</v>
      </c>
      <c r="I53" s="35">
        <f>+MCHBG!I53*'Pop Data'!AC53</f>
        <v>883.36294280020661</v>
      </c>
      <c r="J53" s="35">
        <f>+'Title IV-E'!W53</f>
        <v>1326.1220182301277</v>
      </c>
      <c r="K53" s="35">
        <f>+'CW - State and Local Share'!D53*'Pop Data'!AC53</f>
        <v>8584.4985386375374</v>
      </c>
      <c r="L53" s="41">
        <v>0</v>
      </c>
      <c r="M53" s="35">
        <f>+'Title IV-B'!I53</f>
        <v>0</v>
      </c>
      <c r="N53" s="35">
        <f>+'Title IV-D'!E53*'Pop Data'!AC53</f>
        <v>5232.5205771643659</v>
      </c>
      <c r="O53" s="35">
        <f>+'Title XX'!G53*0.001</f>
        <v>1538.3428565803151</v>
      </c>
      <c r="P53" s="35">
        <f>+TANF!E53*TANF!AB53</f>
        <v>8532.4360000000015</v>
      </c>
      <c r="Q53" s="35">
        <f>+Nutrition!AK53</f>
        <v>12852.004938839827</v>
      </c>
      <c r="R53" s="35">
        <f>+'Juvenile Justice'!H53</f>
        <v>24979.985000000001</v>
      </c>
      <c r="S53" s="35">
        <f>+(+'Tax Credits'!O53*'Low Income Pop'!J53)+('Tax Credits'!P53*'Pop Data'!AC53)</f>
        <v>57741.938966003261</v>
      </c>
      <c r="T53" s="86">
        <f t="shared" si="1"/>
        <v>900027.0230401397</v>
      </c>
    </row>
    <row r="54" spans="1:20" ht="16" thickBot="1" x14ac:dyDescent="0.25">
      <c r="L54" s="91"/>
      <c r="R54" s="4"/>
    </row>
    <row r="55" spans="1:20" ht="17" thickTop="1" thickBot="1" x14ac:dyDescent="0.25">
      <c r="A55" s="38" t="s">
        <v>39</v>
      </c>
      <c r="B55" s="83">
        <f>SUM(B4:B54)</f>
        <v>262907779.95328832</v>
      </c>
      <c r="C55" s="83">
        <f t="shared" ref="C55:T55" si="2">SUM(C4:C54)</f>
        <v>0</v>
      </c>
      <c r="D55" s="83">
        <f t="shared" si="2"/>
        <v>0</v>
      </c>
      <c r="E55" s="83">
        <f t="shared" si="2"/>
        <v>30739860.049033966</v>
      </c>
      <c r="F55" s="83">
        <f t="shared" si="2"/>
        <v>3567996.1343265767</v>
      </c>
      <c r="G55" s="83">
        <f t="shared" si="2"/>
        <v>3704635.5321821687</v>
      </c>
      <c r="H55" s="83">
        <f t="shared" si="2"/>
        <v>1349472.6339448742</v>
      </c>
      <c r="I55" s="83">
        <f t="shared" si="2"/>
        <v>868347.80046121776</v>
      </c>
      <c r="J55" s="83">
        <f t="shared" si="2"/>
        <v>1873336.9103698595</v>
      </c>
      <c r="K55" s="83">
        <f t="shared" si="2"/>
        <v>5202002.7938109385</v>
      </c>
      <c r="L55" s="83">
        <v>0</v>
      </c>
      <c r="M55" s="83">
        <f t="shared" si="2"/>
        <v>215256.52914629682</v>
      </c>
      <c r="N55" s="83">
        <f t="shared" si="2"/>
        <v>3233234.4264025809</v>
      </c>
      <c r="O55" s="83">
        <f t="shared" si="2"/>
        <v>421455.35890447412</v>
      </c>
      <c r="P55" s="83">
        <f t="shared" si="2"/>
        <v>7117248.0769999977</v>
      </c>
      <c r="Q55" s="83">
        <f t="shared" si="2"/>
        <v>18346179.205292139</v>
      </c>
      <c r="R55" s="83">
        <f t="shared" si="2"/>
        <v>9148610.4339999985</v>
      </c>
      <c r="S55" s="83">
        <f t="shared" si="2"/>
        <v>39939833.497203231</v>
      </c>
      <c r="T55" s="84">
        <f t="shared" si="2"/>
        <v>388635249.33536661</v>
      </c>
    </row>
    <row r="56" spans="1:20" ht="16" thickTop="1" x14ac:dyDescent="0.2">
      <c r="S56" s="6"/>
    </row>
  </sheetData>
  <sortState ref="A4:W53">
    <sortCondition ref="A4:A53"/>
  </sortState>
  <phoneticPr fontId="8" type="noConversion"/>
  <printOptions horizontalCentered="1" verticalCentered="1"/>
  <pageMargins left="0.7" right="0.7" top="0.75" bottom="0.75" header="0.3" footer="0.3"/>
  <pageSetup paperSize="5" scale="55" orientation="landscape"/>
  <headerFooter>
    <oddHeader>&amp;C&amp;"-,Bold"&amp;18Public Spending for Children and their Families - Ages 12 to 18</oddHeader>
    <oddFooter>&amp;L&amp;D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tabColor rgb="FFFFC000"/>
  </sheetPr>
  <dimension ref="A1:AH62"/>
  <sheetViews>
    <sheetView topLeftCell="Y1" workbookViewId="0">
      <selection activeCell="AK22" sqref="AK22"/>
    </sheetView>
  </sheetViews>
  <sheetFormatPr baseColWidth="10" defaultColWidth="8.83203125" defaultRowHeight="15" x14ac:dyDescent="0.2"/>
  <cols>
    <col min="1" max="1" width="21.1640625" customWidth="1"/>
    <col min="2" max="2" width="15.83203125" style="4" customWidth="1"/>
    <col min="3" max="3" width="10.5" style="4" customWidth="1"/>
    <col min="4" max="4" width="12.5" style="4" customWidth="1"/>
    <col min="5" max="6" width="11.33203125" style="4" customWidth="1"/>
    <col min="7" max="7" width="13.1640625" style="4" customWidth="1"/>
    <col min="8" max="9" width="13.83203125" style="4" customWidth="1"/>
    <col min="10" max="10" width="12.83203125" style="4" customWidth="1"/>
    <col min="11" max="11" width="14.5" style="4" customWidth="1"/>
    <col min="12" max="12" width="14" style="4" customWidth="1"/>
    <col min="13" max="13" width="14.1640625" style="4" customWidth="1"/>
    <col min="14" max="14" width="12.5" style="4" customWidth="1"/>
    <col min="15" max="15" width="14.6640625" style="4" customWidth="1"/>
    <col min="16" max="16" width="13.1640625" style="4" customWidth="1"/>
    <col min="17" max="17" width="12.83203125" style="4" customWidth="1"/>
    <col min="18" max="18" width="12.6640625" style="4" customWidth="1"/>
    <col min="19" max="19" width="13.1640625" style="4" customWidth="1"/>
    <col min="20" max="20" width="13.83203125" customWidth="1"/>
    <col min="21" max="21" width="6.5" customWidth="1"/>
    <col min="22" max="22" width="13.1640625" customWidth="1"/>
    <col min="23" max="23" width="11.5" customWidth="1"/>
    <col min="24" max="24" width="12.5" customWidth="1"/>
    <col min="26" max="29" width="12.6640625" customWidth="1"/>
    <col min="31" max="34" width="15.6640625" customWidth="1"/>
  </cols>
  <sheetData>
    <row r="1" spans="1:34" x14ac:dyDescent="0.2">
      <c r="A1" t="s">
        <v>66</v>
      </c>
      <c r="B1" s="25" t="s">
        <v>65</v>
      </c>
      <c r="G1" s="4" t="s">
        <v>67</v>
      </c>
    </row>
    <row r="2" spans="1:34" x14ac:dyDescent="0.2">
      <c r="A2" s="24" t="s">
        <v>104</v>
      </c>
    </row>
    <row r="3" spans="1:34" s="8" customFormat="1" x14ac:dyDescent="0.2">
      <c r="B3" s="9" t="s">
        <v>146</v>
      </c>
      <c r="C3" s="9" t="s">
        <v>47</v>
      </c>
      <c r="D3" s="9" t="s">
        <v>48</v>
      </c>
      <c r="E3" s="9" t="s">
        <v>52</v>
      </c>
      <c r="F3" s="9" t="s">
        <v>51</v>
      </c>
      <c r="G3" s="9" t="s">
        <v>50</v>
      </c>
      <c r="H3" s="9" t="s">
        <v>49</v>
      </c>
      <c r="I3" s="9" t="s">
        <v>53</v>
      </c>
      <c r="J3" s="9" t="s">
        <v>54</v>
      </c>
      <c r="K3" s="9" t="s">
        <v>55</v>
      </c>
      <c r="L3" s="9" t="s">
        <v>56</v>
      </c>
      <c r="M3" s="9" t="s">
        <v>57</v>
      </c>
      <c r="N3" s="9" t="s">
        <v>58</v>
      </c>
      <c r="O3" s="9" t="s">
        <v>59</v>
      </c>
      <c r="P3" s="9" t="s">
        <v>60</v>
      </c>
      <c r="Q3" s="9" t="s">
        <v>61</v>
      </c>
      <c r="R3" s="9" t="s">
        <v>62</v>
      </c>
      <c r="S3" s="9" t="s">
        <v>63</v>
      </c>
      <c r="T3" s="8" t="s">
        <v>64</v>
      </c>
      <c r="V3" s="8" t="s">
        <v>248</v>
      </c>
      <c r="W3" s="8" t="s">
        <v>249</v>
      </c>
      <c r="X3" s="8" t="s">
        <v>250</v>
      </c>
      <c r="Z3" s="8" t="s">
        <v>265</v>
      </c>
      <c r="AA3" s="8" t="s">
        <v>266</v>
      </c>
      <c r="AB3" s="8" t="s">
        <v>248</v>
      </c>
      <c r="AC3" s="8" t="s">
        <v>268</v>
      </c>
      <c r="AE3" s="8" t="s">
        <v>265</v>
      </c>
      <c r="AF3" s="8" t="s">
        <v>266</v>
      </c>
      <c r="AG3" s="8" t="s">
        <v>248</v>
      </c>
      <c r="AH3" s="8" t="s">
        <v>268</v>
      </c>
    </row>
    <row r="4" spans="1:34" x14ac:dyDescent="0.2">
      <c r="A4" t="s">
        <v>109</v>
      </c>
      <c r="B4" s="4">
        <v>1124406</v>
      </c>
      <c r="C4" s="4">
        <v>60523</v>
      </c>
      <c r="D4" s="4">
        <v>61821</v>
      </c>
      <c r="E4" s="4">
        <v>60551</v>
      </c>
      <c r="F4" s="4">
        <v>59889</v>
      </c>
      <c r="G4" s="4">
        <v>62483</v>
      </c>
      <c r="H4" s="4">
        <v>62126</v>
      </c>
      <c r="I4" s="4">
        <v>61242</v>
      </c>
      <c r="J4" s="4">
        <v>60900</v>
      </c>
      <c r="K4" s="4">
        <v>61181</v>
      </c>
      <c r="L4" s="4">
        <v>60931</v>
      </c>
      <c r="M4" s="4">
        <v>61747</v>
      </c>
      <c r="N4" s="4">
        <v>64964</v>
      </c>
      <c r="O4" s="4">
        <v>65714</v>
      </c>
      <c r="P4" s="4">
        <v>63911</v>
      </c>
      <c r="Q4" s="4">
        <v>64752</v>
      </c>
      <c r="R4" s="4">
        <v>63038</v>
      </c>
      <c r="S4" s="4">
        <v>62667</v>
      </c>
      <c r="T4" s="4">
        <v>65966</v>
      </c>
      <c r="V4" s="6">
        <f>SUM(H4:N4)</f>
        <v>433091</v>
      </c>
      <c r="W4" s="6">
        <f>SUM(O4:T4)</f>
        <v>386048</v>
      </c>
      <c r="X4" s="6">
        <f>+V4+W4</f>
        <v>819139</v>
      </c>
      <c r="Z4" s="96">
        <f>+(C4+D4+E4)/B4</f>
        <v>0.1626592174001206</v>
      </c>
      <c r="AA4" s="96">
        <f>+(F4+G4)/B4</f>
        <v>0.10883257471055828</v>
      </c>
      <c r="AB4" s="96">
        <f>+V4/B4</f>
        <v>0.38517314920055568</v>
      </c>
      <c r="AC4" s="96">
        <f>+W4/B4</f>
        <v>0.34333505868876546</v>
      </c>
      <c r="AE4" s="6">
        <f>C4+D4+E4</f>
        <v>182895</v>
      </c>
      <c r="AF4" s="6">
        <f>+F4+G4</f>
        <v>122372</v>
      </c>
      <c r="AG4" s="6">
        <f>+H4+I4+J4+K4+L4+M4+N4</f>
        <v>433091</v>
      </c>
      <c r="AH4" s="6">
        <f>+O4+P4+Q4+R4+S4+T4</f>
        <v>386048</v>
      </c>
    </row>
    <row r="5" spans="1:34" x14ac:dyDescent="0.2">
      <c r="A5" t="s">
        <v>110</v>
      </c>
      <c r="B5" s="4">
        <v>187100</v>
      </c>
      <c r="C5" s="4">
        <v>11303</v>
      </c>
      <c r="D5" s="4">
        <v>11433</v>
      </c>
      <c r="E5" s="4">
        <v>10516</v>
      </c>
      <c r="F5" s="4">
        <v>10779</v>
      </c>
      <c r="G5" s="4">
        <v>10760</v>
      </c>
      <c r="H5" s="4">
        <v>10617</v>
      </c>
      <c r="I5" s="4">
        <v>10490</v>
      </c>
      <c r="J5" s="4">
        <v>10139</v>
      </c>
      <c r="K5" s="4">
        <v>10168</v>
      </c>
      <c r="L5" s="4">
        <v>10120</v>
      </c>
      <c r="M5" s="4">
        <v>9912</v>
      </c>
      <c r="N5" s="4">
        <v>10025</v>
      </c>
      <c r="O5" s="4">
        <v>10554</v>
      </c>
      <c r="P5" s="4">
        <v>9988</v>
      </c>
      <c r="Q5" s="4">
        <v>9861</v>
      </c>
      <c r="R5" s="4">
        <v>10082</v>
      </c>
      <c r="S5" s="4">
        <v>10010</v>
      </c>
      <c r="T5" s="4">
        <v>10343</v>
      </c>
      <c r="V5" s="6">
        <f t="shared" ref="V5:V53" si="0">SUM(H5:N5)</f>
        <v>71471</v>
      </c>
      <c r="W5" s="6">
        <f t="shared" ref="W5:W53" si="1">SUM(O5:T5)</f>
        <v>60838</v>
      </c>
      <c r="X5" s="6">
        <f t="shared" ref="X5:X53" si="2">+V5+W5</f>
        <v>132309</v>
      </c>
      <c r="Z5" s="7">
        <f t="shared" ref="Z5:Z53" si="3">+(C5+D5+E5)/B5</f>
        <v>0.17772314270443612</v>
      </c>
      <c r="AA5" s="7">
        <f t="shared" ref="AA5:AA53" si="4">+(F5+G5)/B5</f>
        <v>0.1151202565473009</v>
      </c>
      <c r="AB5" s="7">
        <f t="shared" ref="AB5:AB53" si="5">+V5/B5</f>
        <v>0.38199358631747726</v>
      </c>
      <c r="AC5" s="7">
        <f t="shared" ref="AC5:AC53" si="6">+W5/B5</f>
        <v>0.32516301443078566</v>
      </c>
      <c r="AE5" s="6">
        <f t="shared" ref="AE5:AE53" si="7">C5+D5+E5</f>
        <v>33252</v>
      </c>
      <c r="AF5" s="6">
        <f t="shared" ref="AF5:AF53" si="8">+F5+G5</f>
        <v>21539</v>
      </c>
      <c r="AG5" s="6">
        <f t="shared" ref="AG5:AG53" si="9">+H5+I5+J5+K5+L5+M5+N5</f>
        <v>71471</v>
      </c>
      <c r="AH5" s="6">
        <f t="shared" ref="AH5:AH53" si="10">+O5+P5+Q5+R5+S5+T5</f>
        <v>60838</v>
      </c>
    </row>
    <row r="6" spans="1:34" x14ac:dyDescent="0.2">
      <c r="A6" t="s">
        <v>111</v>
      </c>
      <c r="B6" s="4">
        <v>1620894</v>
      </c>
      <c r="C6" s="4">
        <v>86400</v>
      </c>
      <c r="D6" s="4">
        <v>83530</v>
      </c>
      <c r="E6" s="4">
        <v>87712</v>
      </c>
      <c r="F6" s="4">
        <v>89213</v>
      </c>
      <c r="G6" s="4">
        <v>92778</v>
      </c>
      <c r="H6" s="4">
        <v>93700</v>
      </c>
      <c r="I6" s="4">
        <v>91714</v>
      </c>
      <c r="J6" s="4">
        <v>91210</v>
      </c>
      <c r="K6" s="4">
        <v>90455</v>
      </c>
      <c r="L6" s="4">
        <v>90891</v>
      </c>
      <c r="M6" s="4">
        <v>89074</v>
      </c>
      <c r="N6" s="4">
        <v>92233</v>
      </c>
      <c r="O6" s="4">
        <v>92529</v>
      </c>
      <c r="P6" s="4">
        <v>90366</v>
      </c>
      <c r="Q6" s="4">
        <v>89796</v>
      </c>
      <c r="R6" s="4">
        <v>89767</v>
      </c>
      <c r="S6" s="4">
        <v>89160</v>
      </c>
      <c r="T6" s="4">
        <v>90366</v>
      </c>
      <c r="V6" s="6">
        <f t="shared" si="0"/>
        <v>639277</v>
      </c>
      <c r="W6" s="6">
        <f t="shared" si="1"/>
        <v>541984</v>
      </c>
      <c r="X6" s="6">
        <f t="shared" si="2"/>
        <v>1181261</v>
      </c>
      <c r="Z6" s="7">
        <f t="shared" si="3"/>
        <v>0.15895055444711376</v>
      </c>
      <c r="AA6" s="7">
        <f t="shared" si="4"/>
        <v>0.11227816254486722</v>
      </c>
      <c r="AB6" s="7">
        <f t="shared" si="5"/>
        <v>0.39439778295187716</v>
      </c>
      <c r="AC6" s="7">
        <f t="shared" si="6"/>
        <v>0.33437350005614186</v>
      </c>
      <c r="AE6" s="6">
        <f t="shared" si="7"/>
        <v>257642</v>
      </c>
      <c r="AF6" s="6">
        <f t="shared" si="8"/>
        <v>181991</v>
      </c>
      <c r="AG6" s="6">
        <f t="shared" si="9"/>
        <v>639277</v>
      </c>
      <c r="AH6" s="6">
        <f t="shared" si="10"/>
        <v>541984</v>
      </c>
    </row>
    <row r="7" spans="1:34" x14ac:dyDescent="0.2">
      <c r="A7" t="s">
        <v>112</v>
      </c>
      <c r="B7" s="4">
        <v>710881</v>
      </c>
      <c r="C7" s="4">
        <v>37863</v>
      </c>
      <c r="D7" s="4">
        <v>38199</v>
      </c>
      <c r="E7" s="4">
        <v>38887</v>
      </c>
      <c r="F7" s="4">
        <v>38897</v>
      </c>
      <c r="G7" s="4">
        <v>40173</v>
      </c>
      <c r="H7" s="4">
        <v>41016</v>
      </c>
      <c r="I7" s="4">
        <v>40091</v>
      </c>
      <c r="J7" s="4">
        <v>39902</v>
      </c>
      <c r="K7" s="4">
        <v>39521</v>
      </c>
      <c r="L7" s="4">
        <v>39500</v>
      </c>
      <c r="M7" s="4">
        <v>38968</v>
      </c>
      <c r="N7" s="4">
        <v>40166</v>
      </c>
      <c r="O7" s="4">
        <v>40570</v>
      </c>
      <c r="P7" s="4">
        <v>39848</v>
      </c>
      <c r="Q7" s="4">
        <v>39883</v>
      </c>
      <c r="R7" s="4">
        <v>39715</v>
      </c>
      <c r="S7" s="4">
        <v>39144</v>
      </c>
      <c r="T7" s="4">
        <v>38538</v>
      </c>
      <c r="V7" s="6">
        <f t="shared" si="0"/>
        <v>279164</v>
      </c>
      <c r="W7" s="6">
        <f t="shared" si="1"/>
        <v>237698</v>
      </c>
      <c r="X7" s="6">
        <f t="shared" si="2"/>
        <v>516862</v>
      </c>
      <c r="Z7" s="7">
        <f t="shared" si="3"/>
        <v>0.16169935615102951</v>
      </c>
      <c r="AA7" s="7">
        <f t="shared" si="4"/>
        <v>0.11122818024395081</v>
      </c>
      <c r="AB7" s="7">
        <f t="shared" si="5"/>
        <v>0.39270145073507379</v>
      </c>
      <c r="AC7" s="7">
        <f t="shared" si="6"/>
        <v>0.33437101286994586</v>
      </c>
      <c r="AE7" s="6">
        <f t="shared" si="7"/>
        <v>114949</v>
      </c>
      <c r="AF7" s="6">
        <f t="shared" si="8"/>
        <v>79070</v>
      </c>
      <c r="AG7" s="6">
        <f t="shared" si="9"/>
        <v>279164</v>
      </c>
      <c r="AH7" s="6">
        <f t="shared" si="10"/>
        <v>237698</v>
      </c>
    </row>
    <row r="8" spans="1:34" x14ac:dyDescent="0.2">
      <c r="A8" t="s">
        <v>113</v>
      </c>
      <c r="B8" s="4">
        <v>9240219</v>
      </c>
      <c r="C8" s="4">
        <v>510414</v>
      </c>
      <c r="D8" s="4">
        <v>519524</v>
      </c>
      <c r="E8" s="4">
        <v>497465</v>
      </c>
      <c r="F8" s="4">
        <v>497499</v>
      </c>
      <c r="G8" s="4">
        <v>516595</v>
      </c>
      <c r="H8" s="4">
        <v>517963</v>
      </c>
      <c r="I8" s="4">
        <v>510773</v>
      </c>
      <c r="J8" s="4">
        <v>508543</v>
      </c>
      <c r="K8" s="4">
        <v>504378</v>
      </c>
      <c r="L8" s="4">
        <v>500861</v>
      </c>
      <c r="M8" s="4">
        <v>493938</v>
      </c>
      <c r="N8" s="4">
        <v>508369</v>
      </c>
      <c r="O8" s="4">
        <v>515463</v>
      </c>
      <c r="P8" s="4">
        <v>510496</v>
      </c>
      <c r="Q8" s="4">
        <v>515673</v>
      </c>
      <c r="R8" s="4">
        <v>526085</v>
      </c>
      <c r="S8" s="4">
        <v>536017</v>
      </c>
      <c r="T8" s="4">
        <v>550163</v>
      </c>
      <c r="V8" s="6">
        <f t="shared" si="0"/>
        <v>3544825</v>
      </c>
      <c r="W8" s="6">
        <f t="shared" si="1"/>
        <v>3153897</v>
      </c>
      <c r="X8" s="6">
        <f t="shared" si="2"/>
        <v>6698722</v>
      </c>
      <c r="Z8" s="7">
        <f t="shared" si="3"/>
        <v>0.16529943716701953</v>
      </c>
      <c r="AA8" s="7">
        <f t="shared" si="4"/>
        <v>0.10974783173429115</v>
      </c>
      <c r="AB8" s="7">
        <f t="shared" si="5"/>
        <v>0.38362997673539989</v>
      </c>
      <c r="AC8" s="7">
        <f t="shared" si="6"/>
        <v>0.34132275436328946</v>
      </c>
      <c r="AE8" s="6">
        <f t="shared" si="7"/>
        <v>1527403</v>
      </c>
      <c r="AF8" s="6">
        <f t="shared" si="8"/>
        <v>1014094</v>
      </c>
      <c r="AG8" s="6">
        <f t="shared" si="9"/>
        <v>3544825</v>
      </c>
      <c r="AH8" s="6">
        <f t="shared" si="10"/>
        <v>3153897</v>
      </c>
    </row>
    <row r="9" spans="1:34" x14ac:dyDescent="0.2">
      <c r="A9" t="s">
        <v>115</v>
      </c>
      <c r="B9" s="4">
        <v>1231358</v>
      </c>
      <c r="C9" s="4">
        <v>66093</v>
      </c>
      <c r="D9" s="4">
        <v>65531</v>
      </c>
      <c r="E9" s="4">
        <v>67713</v>
      </c>
      <c r="F9" s="4">
        <v>68275</v>
      </c>
      <c r="G9" s="4">
        <v>69956</v>
      </c>
      <c r="H9" s="4">
        <v>71043</v>
      </c>
      <c r="I9" s="4">
        <v>70708</v>
      </c>
      <c r="J9" s="4">
        <v>70692</v>
      </c>
      <c r="K9" s="4">
        <v>71242</v>
      </c>
      <c r="L9" s="4">
        <v>70449</v>
      </c>
      <c r="M9" s="4">
        <v>68815</v>
      </c>
      <c r="N9" s="4">
        <v>69790</v>
      </c>
      <c r="O9" s="4">
        <v>69546</v>
      </c>
      <c r="P9" s="4">
        <v>67230</v>
      </c>
      <c r="Q9" s="4">
        <v>66245</v>
      </c>
      <c r="R9" s="4">
        <v>65905</v>
      </c>
      <c r="S9" s="4">
        <v>65583</v>
      </c>
      <c r="T9" s="4">
        <v>66542</v>
      </c>
      <c r="V9" s="6">
        <f t="shared" si="0"/>
        <v>492739</v>
      </c>
      <c r="W9" s="6">
        <f t="shared" si="1"/>
        <v>401051</v>
      </c>
      <c r="X9" s="6">
        <f t="shared" si="2"/>
        <v>893790</v>
      </c>
      <c r="Z9" s="7">
        <f t="shared" si="3"/>
        <v>0.16188387130306539</v>
      </c>
      <c r="AA9" s="7">
        <f t="shared" si="4"/>
        <v>0.11225898560775989</v>
      </c>
      <c r="AB9" s="7">
        <f t="shared" si="5"/>
        <v>0.40015901143290578</v>
      </c>
      <c r="AC9" s="7">
        <f t="shared" si="6"/>
        <v>0.32569813165626893</v>
      </c>
      <c r="AE9" s="6">
        <f t="shared" si="7"/>
        <v>199337</v>
      </c>
      <c r="AF9" s="6">
        <f t="shared" si="8"/>
        <v>138231</v>
      </c>
      <c r="AG9" s="6">
        <f t="shared" si="9"/>
        <v>492739</v>
      </c>
      <c r="AH9" s="6">
        <f t="shared" si="10"/>
        <v>401051</v>
      </c>
    </row>
    <row r="10" spans="1:34" x14ac:dyDescent="0.2">
      <c r="A10" t="s">
        <v>114</v>
      </c>
      <c r="B10" s="4">
        <v>793558</v>
      </c>
      <c r="C10" s="4">
        <v>36714</v>
      </c>
      <c r="D10" s="4">
        <v>37777</v>
      </c>
      <c r="E10" s="4">
        <v>38710</v>
      </c>
      <c r="F10" s="4">
        <v>39297</v>
      </c>
      <c r="G10" s="4">
        <v>40958</v>
      </c>
      <c r="H10" s="4">
        <v>42146</v>
      </c>
      <c r="I10" s="4">
        <v>43011</v>
      </c>
      <c r="J10" s="4">
        <v>43795</v>
      </c>
      <c r="K10" s="4">
        <v>44487</v>
      </c>
      <c r="L10" s="4">
        <v>44576</v>
      </c>
      <c r="M10" s="4">
        <v>45072</v>
      </c>
      <c r="N10" s="4">
        <v>45862</v>
      </c>
      <c r="O10" s="4">
        <v>47731</v>
      </c>
      <c r="P10" s="4">
        <v>48140</v>
      </c>
      <c r="Q10" s="4">
        <v>47728</v>
      </c>
      <c r="R10" s="4">
        <v>49149</v>
      </c>
      <c r="S10" s="4">
        <v>48640</v>
      </c>
      <c r="T10" s="4">
        <v>49765</v>
      </c>
      <c r="V10" s="6">
        <f t="shared" si="0"/>
        <v>308949</v>
      </c>
      <c r="W10" s="6">
        <f t="shared" si="1"/>
        <v>291153</v>
      </c>
      <c r="X10" s="6">
        <f t="shared" si="2"/>
        <v>600102</v>
      </c>
      <c r="Z10" s="7">
        <f t="shared" si="3"/>
        <v>0.14264993863082473</v>
      </c>
      <c r="AA10" s="7">
        <f t="shared" si="4"/>
        <v>0.10113312448491478</v>
      </c>
      <c r="AB10" s="7">
        <f t="shared" si="5"/>
        <v>0.38932125944165391</v>
      </c>
      <c r="AC10" s="7">
        <f t="shared" si="6"/>
        <v>0.36689567744260659</v>
      </c>
      <c r="AE10" s="6">
        <f t="shared" si="7"/>
        <v>113201</v>
      </c>
      <c r="AF10" s="6">
        <f t="shared" si="8"/>
        <v>80255</v>
      </c>
      <c r="AG10" s="6">
        <f t="shared" si="9"/>
        <v>308949</v>
      </c>
      <c r="AH10" s="6">
        <f t="shared" si="10"/>
        <v>291153</v>
      </c>
    </row>
    <row r="11" spans="1:34" x14ac:dyDescent="0.2">
      <c r="A11" t="s">
        <v>42</v>
      </c>
      <c r="B11" s="4">
        <v>205050</v>
      </c>
      <c r="C11" s="4">
        <v>11189</v>
      </c>
      <c r="D11" s="4">
        <v>11600</v>
      </c>
      <c r="E11" s="4">
        <v>11140</v>
      </c>
      <c r="F11" s="4">
        <v>10978</v>
      </c>
      <c r="G11" s="4">
        <v>11372</v>
      </c>
      <c r="H11" s="4">
        <v>11464</v>
      </c>
      <c r="I11" s="4">
        <v>11444</v>
      </c>
      <c r="J11" s="4">
        <v>11283</v>
      </c>
      <c r="K11" s="4">
        <v>11492</v>
      </c>
      <c r="L11" s="4">
        <v>11309</v>
      </c>
      <c r="M11" s="4">
        <v>11011</v>
      </c>
      <c r="N11" s="4">
        <v>11503</v>
      </c>
      <c r="O11" s="4">
        <v>11737</v>
      </c>
      <c r="P11" s="4">
        <v>11388</v>
      </c>
      <c r="Q11" s="4">
        <v>11500</v>
      </c>
      <c r="R11" s="4">
        <v>11193</v>
      </c>
      <c r="S11" s="4">
        <v>11487</v>
      </c>
      <c r="T11" s="4">
        <v>11960</v>
      </c>
      <c r="V11" s="6">
        <f t="shared" si="0"/>
        <v>79506</v>
      </c>
      <c r="W11" s="6">
        <f t="shared" si="1"/>
        <v>69265</v>
      </c>
      <c r="X11" s="6">
        <f t="shared" si="2"/>
        <v>148771</v>
      </c>
      <c r="Z11" s="7">
        <f t="shared" si="3"/>
        <v>0.16546695927822483</v>
      </c>
      <c r="AA11" s="7">
        <f t="shared" si="4"/>
        <v>0.10899780541331383</v>
      </c>
      <c r="AB11" s="7">
        <f t="shared" si="5"/>
        <v>0.38773957571324069</v>
      </c>
      <c r="AC11" s="7">
        <f t="shared" si="6"/>
        <v>0.33779565959522068</v>
      </c>
      <c r="AE11" s="6">
        <f t="shared" si="7"/>
        <v>33929</v>
      </c>
      <c r="AF11" s="6">
        <f t="shared" si="8"/>
        <v>22350</v>
      </c>
      <c r="AG11" s="6">
        <f t="shared" si="9"/>
        <v>79506</v>
      </c>
      <c r="AH11" s="6">
        <f t="shared" si="10"/>
        <v>69265</v>
      </c>
    </row>
    <row r="12" spans="1:34" x14ac:dyDescent="0.2">
      <c r="A12" t="s">
        <v>116</v>
      </c>
      <c r="B12" s="4">
        <v>4002480</v>
      </c>
      <c r="C12" s="4">
        <v>212315</v>
      </c>
      <c r="D12" s="4">
        <v>213307</v>
      </c>
      <c r="E12" s="4">
        <v>211942</v>
      </c>
      <c r="F12" s="4">
        <v>212057</v>
      </c>
      <c r="G12" s="4">
        <v>221842</v>
      </c>
      <c r="H12" s="4">
        <v>222866</v>
      </c>
      <c r="I12" s="4">
        <v>221167</v>
      </c>
      <c r="J12" s="4">
        <v>219140</v>
      </c>
      <c r="K12" s="4">
        <v>215870</v>
      </c>
      <c r="L12" s="4">
        <v>216806</v>
      </c>
      <c r="M12" s="4">
        <v>218396</v>
      </c>
      <c r="N12" s="4">
        <v>225929</v>
      </c>
      <c r="O12" s="4">
        <v>231116</v>
      </c>
      <c r="P12" s="4">
        <v>228406</v>
      </c>
      <c r="Q12" s="4">
        <v>229464</v>
      </c>
      <c r="R12" s="4">
        <v>230757</v>
      </c>
      <c r="S12" s="4">
        <v>232892</v>
      </c>
      <c r="T12" s="4">
        <v>238208</v>
      </c>
      <c r="V12" s="6">
        <f t="shared" si="0"/>
        <v>1540174</v>
      </c>
      <c r="W12" s="6">
        <f t="shared" si="1"/>
        <v>1390843</v>
      </c>
      <c r="X12" s="6">
        <f t="shared" si="2"/>
        <v>2931017</v>
      </c>
      <c r="Z12" s="7">
        <f t="shared" si="3"/>
        <v>0.1592922388119366</v>
      </c>
      <c r="AA12" s="7">
        <f t="shared" si="4"/>
        <v>0.10840753732685735</v>
      </c>
      <c r="AB12" s="7">
        <f t="shared" si="5"/>
        <v>0.38480492094901159</v>
      </c>
      <c r="AC12" s="7">
        <f t="shared" si="6"/>
        <v>0.34749530291219444</v>
      </c>
      <c r="AE12" s="6">
        <f t="shared" si="7"/>
        <v>637564</v>
      </c>
      <c r="AF12" s="6">
        <f t="shared" si="8"/>
        <v>433899</v>
      </c>
      <c r="AG12" s="6">
        <f t="shared" si="9"/>
        <v>1540174</v>
      </c>
      <c r="AH12" s="6">
        <f t="shared" si="10"/>
        <v>1390843</v>
      </c>
    </row>
    <row r="13" spans="1:34" x14ac:dyDescent="0.2">
      <c r="A13" t="s">
        <v>117</v>
      </c>
      <c r="B13" s="4">
        <v>2490125</v>
      </c>
      <c r="C13" s="4">
        <v>132458</v>
      </c>
      <c r="D13" s="4">
        <v>131837</v>
      </c>
      <c r="E13" s="4">
        <v>134873</v>
      </c>
      <c r="F13" s="4">
        <v>134970</v>
      </c>
      <c r="G13" s="4">
        <v>140894</v>
      </c>
      <c r="H13" s="4">
        <v>141737</v>
      </c>
      <c r="I13" s="4">
        <v>141086</v>
      </c>
      <c r="J13" s="4">
        <v>139700</v>
      </c>
      <c r="K13" s="4">
        <v>139556</v>
      </c>
      <c r="L13" s="4">
        <v>138806</v>
      </c>
      <c r="M13" s="4">
        <v>139219</v>
      </c>
      <c r="N13" s="4">
        <v>142296</v>
      </c>
      <c r="O13" s="4">
        <v>144069</v>
      </c>
      <c r="P13" s="4">
        <v>139264</v>
      </c>
      <c r="Q13" s="4">
        <v>137820</v>
      </c>
      <c r="R13" s="4">
        <v>137300</v>
      </c>
      <c r="S13" s="4">
        <v>135920</v>
      </c>
      <c r="T13" s="4">
        <v>138320</v>
      </c>
      <c r="V13" s="6">
        <f t="shared" si="0"/>
        <v>982400</v>
      </c>
      <c r="W13" s="6">
        <f t="shared" si="1"/>
        <v>832693</v>
      </c>
      <c r="X13" s="6">
        <f t="shared" si="2"/>
        <v>1815093</v>
      </c>
      <c r="Z13" s="7">
        <f t="shared" si="3"/>
        <v>0.16030038652678077</v>
      </c>
      <c r="AA13" s="7">
        <f t="shared" si="4"/>
        <v>0.11078319361477837</v>
      </c>
      <c r="AB13" s="7">
        <f t="shared" si="5"/>
        <v>0.39451834747251646</v>
      </c>
      <c r="AC13" s="7">
        <f t="shared" si="6"/>
        <v>0.33439807238592439</v>
      </c>
      <c r="AE13" s="6">
        <f t="shared" si="7"/>
        <v>399168</v>
      </c>
      <c r="AF13" s="6">
        <f t="shared" si="8"/>
        <v>275864</v>
      </c>
      <c r="AG13" s="6">
        <f t="shared" si="9"/>
        <v>982400</v>
      </c>
      <c r="AH13" s="6">
        <f t="shared" si="10"/>
        <v>832693</v>
      </c>
    </row>
    <row r="14" spans="1:34" x14ac:dyDescent="0.2">
      <c r="A14" t="s">
        <v>118</v>
      </c>
      <c r="B14" s="4">
        <v>303011</v>
      </c>
      <c r="C14" s="4">
        <v>18106</v>
      </c>
      <c r="D14" s="4">
        <v>18378</v>
      </c>
      <c r="E14" s="4">
        <v>17549</v>
      </c>
      <c r="F14" s="4">
        <v>17580</v>
      </c>
      <c r="G14" s="4">
        <v>17536</v>
      </c>
      <c r="H14" s="4">
        <v>17189</v>
      </c>
      <c r="I14" s="4">
        <v>16755</v>
      </c>
      <c r="J14" s="4">
        <v>16861</v>
      </c>
      <c r="K14" s="4">
        <v>17066</v>
      </c>
      <c r="L14" s="4">
        <v>16644</v>
      </c>
      <c r="M14" s="4">
        <v>15870</v>
      </c>
      <c r="N14" s="4">
        <v>16426</v>
      </c>
      <c r="O14" s="4">
        <v>16310</v>
      </c>
      <c r="P14" s="4">
        <v>16212</v>
      </c>
      <c r="Q14" s="4">
        <v>15759</v>
      </c>
      <c r="R14" s="4">
        <v>15904</v>
      </c>
      <c r="S14" s="4">
        <v>16272</v>
      </c>
      <c r="T14" s="4">
        <v>16594</v>
      </c>
      <c r="V14" s="6">
        <f t="shared" si="0"/>
        <v>116811</v>
      </c>
      <c r="W14" s="6">
        <f t="shared" si="1"/>
        <v>97051</v>
      </c>
      <c r="X14" s="6">
        <f t="shared" si="2"/>
        <v>213862</v>
      </c>
      <c r="Z14" s="7">
        <f t="shared" si="3"/>
        <v>0.17832025900049833</v>
      </c>
      <c r="AA14" s="7">
        <f t="shared" si="4"/>
        <v>0.11589018220460644</v>
      </c>
      <c r="AB14" s="7">
        <f t="shared" si="5"/>
        <v>0.38550085640455295</v>
      </c>
      <c r="AC14" s="7">
        <f t="shared" si="6"/>
        <v>0.32028870239034224</v>
      </c>
      <c r="AE14" s="6">
        <f t="shared" si="7"/>
        <v>54033</v>
      </c>
      <c r="AF14" s="6">
        <f t="shared" si="8"/>
        <v>35116</v>
      </c>
      <c r="AG14" s="6">
        <f t="shared" si="9"/>
        <v>116811</v>
      </c>
      <c r="AH14" s="6">
        <f t="shared" si="10"/>
        <v>97051</v>
      </c>
    </row>
    <row r="15" spans="1:34" x14ac:dyDescent="0.2">
      <c r="A15" s="28" t="s">
        <v>70</v>
      </c>
      <c r="B15" s="26">
        <v>426653</v>
      </c>
      <c r="C15" s="26">
        <f>+$B$15*C59</f>
        <v>22795.681004697508</v>
      </c>
      <c r="D15" s="26">
        <f t="shared" ref="D15:T15" si="11">+$B$15*D59</f>
        <v>23037.003202368702</v>
      </c>
      <c r="E15" s="26">
        <f t="shared" si="11"/>
        <v>23017.255346635771</v>
      </c>
      <c r="F15" s="26">
        <f t="shared" si="11"/>
        <v>23026.479514181381</v>
      </c>
      <c r="G15" s="26">
        <f t="shared" si="11"/>
        <v>23773.661375481242</v>
      </c>
      <c r="H15" s="26">
        <f t="shared" si="11"/>
        <v>23896.623961808466</v>
      </c>
      <c r="I15" s="26">
        <f t="shared" si="11"/>
        <v>23712.183118580811</v>
      </c>
      <c r="J15" s="26">
        <f t="shared" si="11"/>
        <v>23641.978641296548</v>
      </c>
      <c r="K15" s="26">
        <f t="shared" si="11"/>
        <v>23699.24256490096</v>
      </c>
      <c r="L15" s="26">
        <f t="shared" si="11"/>
        <v>23517.212514639468</v>
      </c>
      <c r="M15" s="26">
        <f t="shared" si="11"/>
        <v>23415.206216791437</v>
      </c>
      <c r="N15" s="26">
        <f t="shared" si="11"/>
        <v>23976.714512011924</v>
      </c>
      <c r="O15" s="26">
        <f t="shared" si="11"/>
        <v>24343.148970342896</v>
      </c>
      <c r="P15" s="26">
        <f t="shared" si="11"/>
        <v>23944.663717867272</v>
      </c>
      <c r="Q15" s="26">
        <f t="shared" si="11"/>
        <v>23942.216489742925</v>
      </c>
      <c r="R15" s="26">
        <f t="shared" si="11"/>
        <v>24003.105711586133</v>
      </c>
      <c r="S15" s="26">
        <f t="shared" si="11"/>
        <v>24192.683912117005</v>
      </c>
      <c r="T15" s="26">
        <f t="shared" si="11"/>
        <v>24717.939224949543</v>
      </c>
      <c r="V15" s="6">
        <f t="shared" si="0"/>
        <v>165859.16153002961</v>
      </c>
      <c r="W15" s="6">
        <f t="shared" si="1"/>
        <v>145143.75802660576</v>
      </c>
      <c r="X15" s="6">
        <f t="shared" si="2"/>
        <v>311002.91955663537</v>
      </c>
      <c r="Z15" s="7">
        <f t="shared" si="3"/>
        <v>0.1613722147827438</v>
      </c>
      <c r="AA15" s="7">
        <f t="shared" si="4"/>
        <v>0.10969134376100162</v>
      </c>
      <c r="AB15" s="7">
        <f t="shared" si="5"/>
        <v>0.38874486181986206</v>
      </c>
      <c r="AC15" s="7">
        <f t="shared" si="6"/>
        <v>0.34019157963639246</v>
      </c>
      <c r="AE15" s="6">
        <f t="shared" si="7"/>
        <v>68849.939553701988</v>
      </c>
      <c r="AF15" s="6">
        <f t="shared" si="8"/>
        <v>46800.140889662624</v>
      </c>
      <c r="AG15" s="6">
        <f t="shared" si="9"/>
        <v>165859.16153002961</v>
      </c>
      <c r="AH15" s="6">
        <f t="shared" si="10"/>
        <v>145143.75802660576</v>
      </c>
    </row>
    <row r="16" spans="1:34" x14ac:dyDescent="0.2">
      <c r="A16" t="s">
        <v>120</v>
      </c>
      <c r="B16" s="4">
        <v>3064065</v>
      </c>
      <c r="C16" s="4">
        <v>160697</v>
      </c>
      <c r="D16" s="4">
        <v>163849</v>
      </c>
      <c r="E16" s="4">
        <v>161814</v>
      </c>
      <c r="F16" s="4">
        <v>162253</v>
      </c>
      <c r="G16" s="4">
        <v>167665</v>
      </c>
      <c r="H16" s="4">
        <v>168693</v>
      </c>
      <c r="I16" s="4">
        <v>169254</v>
      </c>
      <c r="J16" s="4">
        <v>169508</v>
      </c>
      <c r="K16" s="4">
        <v>171594</v>
      </c>
      <c r="L16" s="4">
        <v>169865</v>
      </c>
      <c r="M16" s="4">
        <v>169752</v>
      </c>
      <c r="N16" s="4">
        <v>172839</v>
      </c>
      <c r="O16" s="4">
        <v>175457</v>
      </c>
      <c r="P16" s="4">
        <v>172863</v>
      </c>
      <c r="Q16" s="4">
        <v>173998</v>
      </c>
      <c r="R16" s="4">
        <v>174629</v>
      </c>
      <c r="S16" s="4">
        <v>177328</v>
      </c>
      <c r="T16" s="4">
        <v>182007</v>
      </c>
      <c r="V16" s="6">
        <f t="shared" si="0"/>
        <v>1191505</v>
      </c>
      <c r="W16" s="6">
        <f t="shared" si="1"/>
        <v>1056282</v>
      </c>
      <c r="X16" s="6">
        <f t="shared" si="2"/>
        <v>2247787</v>
      </c>
      <c r="Z16" s="7">
        <f t="shared" si="3"/>
        <v>0.15873031414150809</v>
      </c>
      <c r="AA16" s="7">
        <f t="shared" si="4"/>
        <v>0.10767330327522426</v>
      </c>
      <c r="AB16" s="7">
        <f t="shared" si="5"/>
        <v>0.38886413963150257</v>
      </c>
      <c r="AC16" s="7">
        <f t="shared" si="6"/>
        <v>0.34473224295176508</v>
      </c>
      <c r="AE16" s="6">
        <f t="shared" si="7"/>
        <v>486360</v>
      </c>
      <c r="AF16" s="6">
        <f t="shared" si="8"/>
        <v>329918</v>
      </c>
      <c r="AG16" s="6">
        <f t="shared" si="9"/>
        <v>1191505</v>
      </c>
      <c r="AH16" s="6">
        <f t="shared" si="10"/>
        <v>1056282</v>
      </c>
    </row>
    <row r="17" spans="1:34" x14ac:dyDescent="0.2">
      <c r="A17" t="s">
        <v>121</v>
      </c>
      <c r="B17" s="4">
        <v>1591477</v>
      </c>
      <c r="C17" s="4">
        <v>82933</v>
      </c>
      <c r="D17" s="4">
        <v>84847</v>
      </c>
      <c r="E17" s="4">
        <v>84963</v>
      </c>
      <c r="F17" s="4">
        <v>85026</v>
      </c>
      <c r="G17" s="4">
        <v>87734</v>
      </c>
      <c r="H17" s="4">
        <v>89004</v>
      </c>
      <c r="I17" s="4">
        <v>88136</v>
      </c>
      <c r="J17" s="4">
        <v>88226</v>
      </c>
      <c r="K17" s="4">
        <v>89282</v>
      </c>
      <c r="L17" s="4">
        <v>88022</v>
      </c>
      <c r="M17" s="4">
        <v>88308</v>
      </c>
      <c r="N17" s="4">
        <v>90907</v>
      </c>
      <c r="O17" s="4">
        <v>92398</v>
      </c>
      <c r="P17" s="4">
        <v>90461</v>
      </c>
      <c r="Q17" s="4">
        <v>90079</v>
      </c>
      <c r="R17" s="4">
        <v>89125</v>
      </c>
      <c r="S17" s="4">
        <v>90470</v>
      </c>
      <c r="T17" s="4">
        <v>91556</v>
      </c>
      <c r="V17" s="6">
        <f t="shared" si="0"/>
        <v>621885</v>
      </c>
      <c r="W17" s="6">
        <f t="shared" si="1"/>
        <v>544089</v>
      </c>
      <c r="X17" s="6">
        <f t="shared" si="2"/>
        <v>1165974</v>
      </c>
      <c r="Z17" s="7">
        <f t="shared" si="3"/>
        <v>0.15881033781826567</v>
      </c>
      <c r="AA17" s="7">
        <f t="shared" si="4"/>
        <v>0.10855324959141728</v>
      </c>
      <c r="AB17" s="7">
        <f t="shared" si="5"/>
        <v>0.39075965282564562</v>
      </c>
      <c r="AC17" s="7">
        <f t="shared" si="6"/>
        <v>0.34187675976467141</v>
      </c>
      <c r="AE17" s="6">
        <f t="shared" si="7"/>
        <v>252743</v>
      </c>
      <c r="AF17" s="6">
        <f t="shared" si="8"/>
        <v>172760</v>
      </c>
      <c r="AG17" s="6">
        <f t="shared" si="9"/>
        <v>621885</v>
      </c>
      <c r="AH17" s="6">
        <f t="shared" si="10"/>
        <v>544089</v>
      </c>
    </row>
    <row r="18" spans="1:34" x14ac:dyDescent="0.2">
      <c r="A18" t="s">
        <v>122</v>
      </c>
      <c r="B18" s="4">
        <v>722953</v>
      </c>
      <c r="C18" s="4">
        <v>37948</v>
      </c>
      <c r="D18" s="4">
        <v>37954</v>
      </c>
      <c r="E18" s="4">
        <v>39618</v>
      </c>
      <c r="F18" s="4">
        <v>39812</v>
      </c>
      <c r="G18" s="4">
        <v>41034</v>
      </c>
      <c r="H18" s="4">
        <v>41387</v>
      </c>
      <c r="I18" s="4">
        <v>41054</v>
      </c>
      <c r="J18" s="4">
        <v>40301</v>
      </c>
      <c r="K18" s="4">
        <v>40507</v>
      </c>
      <c r="L18" s="4">
        <v>40019</v>
      </c>
      <c r="M18" s="4">
        <v>39708</v>
      </c>
      <c r="N18" s="4">
        <v>40337</v>
      </c>
      <c r="O18" s="4">
        <v>41005</v>
      </c>
      <c r="P18" s="4">
        <v>40179</v>
      </c>
      <c r="Q18" s="4">
        <v>40513</v>
      </c>
      <c r="R18" s="4">
        <v>40360</v>
      </c>
      <c r="S18" s="4">
        <v>40337</v>
      </c>
      <c r="T18" s="4">
        <v>40880</v>
      </c>
      <c r="V18" s="6">
        <f t="shared" si="0"/>
        <v>283313</v>
      </c>
      <c r="W18" s="6">
        <f t="shared" si="1"/>
        <v>243274</v>
      </c>
      <c r="X18" s="6">
        <f t="shared" si="2"/>
        <v>526587</v>
      </c>
      <c r="Z18" s="7">
        <f t="shared" si="3"/>
        <v>0.15978908725740124</v>
      </c>
      <c r="AA18" s="7">
        <f t="shared" si="4"/>
        <v>0.11182746319608605</v>
      </c>
      <c r="AB18" s="7">
        <f t="shared" si="5"/>
        <v>0.39188301314193313</v>
      </c>
      <c r="AC18" s="7">
        <f t="shared" si="6"/>
        <v>0.33650043640457955</v>
      </c>
      <c r="AE18" s="6">
        <f t="shared" si="7"/>
        <v>115520</v>
      </c>
      <c r="AF18" s="6">
        <f t="shared" si="8"/>
        <v>80846</v>
      </c>
      <c r="AG18" s="6">
        <f t="shared" si="9"/>
        <v>283313</v>
      </c>
      <c r="AH18" s="6">
        <f t="shared" si="10"/>
        <v>243274</v>
      </c>
    </row>
    <row r="19" spans="1:34" x14ac:dyDescent="0.2">
      <c r="A19" t="s">
        <v>123</v>
      </c>
      <c r="B19" s="4">
        <v>724304</v>
      </c>
      <c r="C19" s="4">
        <v>39830</v>
      </c>
      <c r="D19" s="4">
        <v>40748</v>
      </c>
      <c r="E19" s="4">
        <v>40875</v>
      </c>
      <c r="F19" s="4">
        <v>40386</v>
      </c>
      <c r="G19" s="4">
        <v>41428</v>
      </c>
      <c r="H19" s="4">
        <v>41135</v>
      </c>
      <c r="I19" s="4">
        <v>40843</v>
      </c>
      <c r="J19" s="4">
        <v>40522</v>
      </c>
      <c r="K19" s="4">
        <v>40532</v>
      </c>
      <c r="L19" s="4">
        <v>40453</v>
      </c>
      <c r="M19" s="4">
        <v>39300</v>
      </c>
      <c r="N19" s="4">
        <v>40364</v>
      </c>
      <c r="O19" s="4">
        <v>40910</v>
      </c>
      <c r="P19" s="4">
        <v>39612</v>
      </c>
      <c r="Q19" s="4">
        <v>39670</v>
      </c>
      <c r="R19" s="4">
        <v>38603</v>
      </c>
      <c r="S19" s="4">
        <v>39389</v>
      </c>
      <c r="T19" s="4">
        <v>39704</v>
      </c>
      <c r="V19" s="6">
        <f t="shared" si="0"/>
        <v>283149</v>
      </c>
      <c r="W19" s="6">
        <f t="shared" si="1"/>
        <v>237888</v>
      </c>
      <c r="X19" s="6">
        <f t="shared" si="2"/>
        <v>521037</v>
      </c>
      <c r="Z19" s="7">
        <f t="shared" si="3"/>
        <v>0.16768235437054055</v>
      </c>
      <c r="AA19" s="7">
        <f t="shared" si="4"/>
        <v>0.11295533367204931</v>
      </c>
      <c r="AB19" s="7">
        <f t="shared" si="5"/>
        <v>0.39092563343568448</v>
      </c>
      <c r="AC19" s="7">
        <f t="shared" si="6"/>
        <v>0.3284366785217257</v>
      </c>
      <c r="AE19" s="6">
        <f t="shared" si="7"/>
        <v>121453</v>
      </c>
      <c r="AF19" s="6">
        <f t="shared" si="8"/>
        <v>81814</v>
      </c>
      <c r="AG19" s="6">
        <f t="shared" si="9"/>
        <v>283149</v>
      </c>
      <c r="AH19" s="6">
        <f t="shared" si="10"/>
        <v>237888</v>
      </c>
    </row>
    <row r="20" spans="1:34" x14ac:dyDescent="0.2">
      <c r="A20" t="s">
        <v>124</v>
      </c>
      <c r="B20" s="4">
        <v>1018238</v>
      </c>
      <c r="C20" s="4">
        <v>55280</v>
      </c>
      <c r="D20" s="4">
        <v>56273</v>
      </c>
      <c r="E20" s="4">
        <v>55509</v>
      </c>
      <c r="F20" s="4">
        <v>55094</v>
      </c>
      <c r="G20" s="4">
        <v>57379</v>
      </c>
      <c r="H20" s="4">
        <v>57432</v>
      </c>
      <c r="I20" s="4">
        <v>56835</v>
      </c>
      <c r="J20" s="4">
        <v>56665</v>
      </c>
      <c r="K20" s="4">
        <v>56833</v>
      </c>
      <c r="L20" s="4">
        <v>56149</v>
      </c>
      <c r="M20" s="4">
        <v>55765</v>
      </c>
      <c r="N20" s="4">
        <v>57441</v>
      </c>
      <c r="O20" s="4">
        <v>58246</v>
      </c>
      <c r="P20" s="4">
        <v>57537</v>
      </c>
      <c r="Q20" s="4">
        <v>56834</v>
      </c>
      <c r="R20" s="4">
        <v>56252</v>
      </c>
      <c r="S20" s="4">
        <v>55897</v>
      </c>
      <c r="T20" s="4">
        <v>56817</v>
      </c>
      <c r="V20" s="6">
        <f t="shared" si="0"/>
        <v>397120</v>
      </c>
      <c r="W20" s="6">
        <f t="shared" si="1"/>
        <v>341583</v>
      </c>
      <c r="X20" s="6">
        <f t="shared" si="2"/>
        <v>738703</v>
      </c>
      <c r="Z20" s="7">
        <f t="shared" si="3"/>
        <v>0.16406969686851208</v>
      </c>
      <c r="AA20" s="7">
        <f t="shared" si="4"/>
        <v>0.11045845863147909</v>
      </c>
      <c r="AB20" s="7">
        <f t="shared" si="5"/>
        <v>0.39000705139662828</v>
      </c>
      <c r="AC20" s="7">
        <f t="shared" si="6"/>
        <v>0.33546479310338057</v>
      </c>
      <c r="AE20" s="6">
        <f t="shared" si="7"/>
        <v>167062</v>
      </c>
      <c r="AF20" s="6">
        <f t="shared" si="8"/>
        <v>112473</v>
      </c>
      <c r="AG20" s="6">
        <f t="shared" si="9"/>
        <v>397120</v>
      </c>
      <c r="AH20" s="6">
        <f t="shared" si="10"/>
        <v>341583</v>
      </c>
    </row>
    <row r="21" spans="1:34" x14ac:dyDescent="0.2">
      <c r="A21" t="s">
        <v>125</v>
      </c>
      <c r="B21" s="4">
        <v>1117803</v>
      </c>
      <c r="C21" s="4">
        <v>62491</v>
      </c>
      <c r="D21" s="4">
        <v>63465</v>
      </c>
      <c r="E21" s="4">
        <v>62310</v>
      </c>
      <c r="F21" s="4">
        <v>62144</v>
      </c>
      <c r="G21" s="4">
        <v>64356</v>
      </c>
      <c r="H21" s="4">
        <v>64655</v>
      </c>
      <c r="I21" s="4">
        <v>62163</v>
      </c>
      <c r="J21" s="4">
        <v>61768</v>
      </c>
      <c r="K21" s="4">
        <v>61253</v>
      </c>
      <c r="L21" s="4">
        <v>60822</v>
      </c>
      <c r="M21" s="4">
        <v>60422</v>
      </c>
      <c r="N21" s="4">
        <v>62589</v>
      </c>
      <c r="O21" s="4">
        <v>63690</v>
      </c>
      <c r="P21" s="4">
        <v>62031</v>
      </c>
      <c r="Q21" s="4">
        <v>61174</v>
      </c>
      <c r="R21" s="4">
        <v>60686</v>
      </c>
      <c r="S21" s="4">
        <v>60388</v>
      </c>
      <c r="T21" s="4">
        <v>61396</v>
      </c>
      <c r="V21" s="6">
        <f t="shared" si="0"/>
        <v>433672</v>
      </c>
      <c r="W21" s="6">
        <f t="shared" si="1"/>
        <v>369365</v>
      </c>
      <c r="X21" s="6">
        <f t="shared" si="2"/>
        <v>803037</v>
      </c>
      <c r="Z21" s="7">
        <f t="shared" si="3"/>
        <v>0.16842502659234229</v>
      </c>
      <c r="AA21" s="7">
        <f t="shared" si="4"/>
        <v>0.11316842055353224</v>
      </c>
      <c r="AB21" s="7">
        <f t="shared" si="5"/>
        <v>0.38796818401811412</v>
      </c>
      <c r="AC21" s="7">
        <f t="shared" si="6"/>
        <v>0.33043836883601135</v>
      </c>
      <c r="AE21" s="6">
        <f t="shared" si="7"/>
        <v>188266</v>
      </c>
      <c r="AF21" s="6">
        <f t="shared" si="8"/>
        <v>126500</v>
      </c>
      <c r="AG21" s="6">
        <f t="shared" si="9"/>
        <v>433672</v>
      </c>
      <c r="AH21" s="6">
        <f t="shared" si="10"/>
        <v>369365</v>
      </c>
    </row>
    <row r="22" spans="1:34" x14ac:dyDescent="0.2">
      <c r="A22" t="s">
        <v>0</v>
      </c>
      <c r="B22" s="4">
        <v>265918</v>
      </c>
      <c r="C22" s="4">
        <v>12803</v>
      </c>
      <c r="D22" s="4">
        <v>13164</v>
      </c>
      <c r="E22" s="4">
        <v>13378</v>
      </c>
      <c r="F22" s="4">
        <v>13500</v>
      </c>
      <c r="G22" s="4">
        <v>14059</v>
      </c>
      <c r="H22" s="4">
        <v>14354</v>
      </c>
      <c r="I22" s="4">
        <v>14566</v>
      </c>
      <c r="J22" s="4">
        <v>14778</v>
      </c>
      <c r="K22" s="4">
        <v>14747</v>
      </c>
      <c r="L22" s="4">
        <v>14659</v>
      </c>
      <c r="M22" s="4">
        <v>14734</v>
      </c>
      <c r="N22" s="4">
        <v>15196</v>
      </c>
      <c r="O22" s="4">
        <v>15557</v>
      </c>
      <c r="P22" s="4">
        <v>15743</v>
      </c>
      <c r="Q22" s="4">
        <v>15779</v>
      </c>
      <c r="R22" s="4">
        <v>15883</v>
      </c>
      <c r="S22" s="4">
        <v>16265</v>
      </c>
      <c r="T22" s="4">
        <v>16753</v>
      </c>
      <c r="V22" s="6">
        <f t="shared" si="0"/>
        <v>103034</v>
      </c>
      <c r="W22" s="6">
        <f t="shared" si="1"/>
        <v>95980</v>
      </c>
      <c r="X22" s="6">
        <f t="shared" si="2"/>
        <v>199014</v>
      </c>
      <c r="Z22" s="7">
        <f t="shared" si="3"/>
        <v>0.14795914530043097</v>
      </c>
      <c r="AA22" s="7">
        <f t="shared" si="4"/>
        <v>0.10363721147120541</v>
      </c>
      <c r="AB22" s="7">
        <f t="shared" si="5"/>
        <v>0.38746530885460934</v>
      </c>
      <c r="AC22" s="7">
        <f t="shared" si="6"/>
        <v>0.36093833437375433</v>
      </c>
      <c r="AE22" s="6">
        <f t="shared" si="7"/>
        <v>39345</v>
      </c>
      <c r="AF22" s="6">
        <f t="shared" si="8"/>
        <v>27559</v>
      </c>
      <c r="AG22" s="6">
        <f t="shared" si="9"/>
        <v>103034</v>
      </c>
      <c r="AH22" s="6">
        <f t="shared" si="10"/>
        <v>95980</v>
      </c>
    </row>
    <row r="23" spans="1:34" x14ac:dyDescent="0.2">
      <c r="A23" t="s">
        <v>1</v>
      </c>
      <c r="B23" s="4">
        <v>1343800</v>
      </c>
      <c r="C23" s="4">
        <v>71976</v>
      </c>
      <c r="D23" s="4">
        <v>73341</v>
      </c>
      <c r="E23" s="4">
        <v>72681</v>
      </c>
      <c r="F23" s="4">
        <v>72468</v>
      </c>
      <c r="G23" s="4">
        <v>74758</v>
      </c>
      <c r="H23" s="4">
        <v>74693</v>
      </c>
      <c r="I23" s="4">
        <v>74148</v>
      </c>
      <c r="J23" s="4">
        <v>73593</v>
      </c>
      <c r="K23" s="4">
        <v>74005</v>
      </c>
      <c r="L23" s="4">
        <v>72854</v>
      </c>
      <c r="M23" s="4">
        <v>73313</v>
      </c>
      <c r="N23" s="4">
        <v>75787</v>
      </c>
      <c r="O23" s="4">
        <v>76441</v>
      </c>
      <c r="P23" s="4">
        <v>75788</v>
      </c>
      <c r="Q23" s="4">
        <v>75522</v>
      </c>
      <c r="R23" s="4">
        <v>76215</v>
      </c>
      <c r="S23" s="4">
        <v>77126</v>
      </c>
      <c r="T23" s="4">
        <v>79091</v>
      </c>
      <c r="V23" s="6">
        <f t="shared" si="0"/>
        <v>518393</v>
      </c>
      <c r="W23" s="6">
        <f t="shared" si="1"/>
        <v>460183</v>
      </c>
      <c r="X23" s="6">
        <f t="shared" si="2"/>
        <v>978576</v>
      </c>
      <c r="Z23" s="7">
        <f t="shared" si="3"/>
        <v>0.16222503348712605</v>
      </c>
      <c r="AA23" s="7">
        <f t="shared" si="4"/>
        <v>0.10955945825271618</v>
      </c>
      <c r="AB23" s="7">
        <f t="shared" si="5"/>
        <v>0.38576648310760531</v>
      </c>
      <c r="AC23" s="7">
        <f t="shared" si="6"/>
        <v>0.34244902515255249</v>
      </c>
      <c r="AE23" s="6">
        <f t="shared" si="7"/>
        <v>217998</v>
      </c>
      <c r="AF23" s="6">
        <f t="shared" si="8"/>
        <v>147226</v>
      </c>
      <c r="AG23" s="6">
        <f t="shared" si="9"/>
        <v>518393</v>
      </c>
      <c r="AH23" s="6">
        <f t="shared" si="10"/>
        <v>460183</v>
      </c>
    </row>
    <row r="24" spans="1:34" x14ac:dyDescent="0.2">
      <c r="A24" t="s">
        <v>2</v>
      </c>
      <c r="B24" s="4">
        <v>1401415</v>
      </c>
      <c r="C24" s="4">
        <v>72250</v>
      </c>
      <c r="D24" s="4">
        <v>74054</v>
      </c>
      <c r="E24" s="4">
        <v>72374</v>
      </c>
      <c r="F24" s="4">
        <v>71978</v>
      </c>
      <c r="G24" s="4">
        <v>74901</v>
      </c>
      <c r="H24" s="4">
        <v>75213</v>
      </c>
      <c r="I24" s="4">
        <v>75253</v>
      </c>
      <c r="J24" s="4">
        <v>76387</v>
      </c>
      <c r="K24" s="4">
        <v>77742</v>
      </c>
      <c r="L24" s="4">
        <v>78170</v>
      </c>
      <c r="M24" s="4">
        <v>77397</v>
      </c>
      <c r="N24" s="4">
        <v>79260</v>
      </c>
      <c r="O24" s="4">
        <v>80755</v>
      </c>
      <c r="P24" s="4">
        <v>80920</v>
      </c>
      <c r="Q24" s="4">
        <v>81371</v>
      </c>
      <c r="R24" s="4">
        <v>82565</v>
      </c>
      <c r="S24" s="4">
        <v>84112</v>
      </c>
      <c r="T24" s="4">
        <v>86713</v>
      </c>
      <c r="V24" s="6">
        <f t="shared" si="0"/>
        <v>539422</v>
      </c>
      <c r="W24" s="6">
        <f t="shared" si="1"/>
        <v>496436</v>
      </c>
      <c r="X24" s="6">
        <f t="shared" si="2"/>
        <v>1035858</v>
      </c>
      <c r="Z24" s="7">
        <f t="shared" si="3"/>
        <v>0.15604085870352466</v>
      </c>
      <c r="AA24" s="7">
        <f t="shared" si="4"/>
        <v>0.10480764084871362</v>
      </c>
      <c r="AB24" s="7">
        <f t="shared" si="5"/>
        <v>0.38491239211796646</v>
      </c>
      <c r="AC24" s="7">
        <f t="shared" si="6"/>
        <v>0.35423910832979522</v>
      </c>
      <c r="AE24" s="6">
        <f t="shared" si="7"/>
        <v>218678</v>
      </c>
      <c r="AF24" s="6">
        <f t="shared" si="8"/>
        <v>146879</v>
      </c>
      <c r="AG24" s="6">
        <f t="shared" si="9"/>
        <v>539422</v>
      </c>
      <c r="AH24" s="6">
        <f t="shared" si="10"/>
        <v>496436</v>
      </c>
    </row>
    <row r="25" spans="1:34" x14ac:dyDescent="0.2">
      <c r="A25" t="s">
        <v>3</v>
      </c>
      <c r="B25" s="4">
        <v>2266870</v>
      </c>
      <c r="C25" s="4">
        <v>110762</v>
      </c>
      <c r="D25" s="4">
        <v>114320</v>
      </c>
      <c r="E25" s="4">
        <v>115262</v>
      </c>
      <c r="F25" s="4">
        <v>115845</v>
      </c>
      <c r="G25" s="4">
        <v>119525</v>
      </c>
      <c r="H25" s="4">
        <v>122126</v>
      </c>
      <c r="I25" s="4">
        <v>122508</v>
      </c>
      <c r="J25" s="4">
        <v>123566</v>
      </c>
      <c r="K25" s="4">
        <v>126149</v>
      </c>
      <c r="L25" s="4">
        <v>125212</v>
      </c>
      <c r="M25" s="4">
        <v>126892</v>
      </c>
      <c r="N25" s="4">
        <v>131724</v>
      </c>
      <c r="O25" s="4">
        <v>133586</v>
      </c>
      <c r="P25" s="4">
        <v>133316</v>
      </c>
      <c r="Q25" s="4">
        <v>133750</v>
      </c>
      <c r="R25" s="4">
        <v>135132</v>
      </c>
      <c r="S25" s="4">
        <v>136444</v>
      </c>
      <c r="T25" s="4">
        <v>140751</v>
      </c>
      <c r="V25" s="6">
        <f t="shared" si="0"/>
        <v>878177</v>
      </c>
      <c r="W25" s="6">
        <f t="shared" si="1"/>
        <v>812979</v>
      </c>
      <c r="X25" s="6">
        <f t="shared" si="2"/>
        <v>1691156</v>
      </c>
      <c r="Z25" s="7">
        <f t="shared" si="3"/>
        <v>0.15013829641752724</v>
      </c>
      <c r="AA25" s="7">
        <f t="shared" si="4"/>
        <v>0.10383039168545175</v>
      </c>
      <c r="AB25" s="7">
        <f t="shared" si="5"/>
        <v>0.38739627768685458</v>
      </c>
      <c r="AC25" s="7">
        <f t="shared" si="6"/>
        <v>0.35863503421016646</v>
      </c>
      <c r="AE25" s="6">
        <f t="shared" si="7"/>
        <v>340344</v>
      </c>
      <c r="AF25" s="6">
        <f t="shared" si="8"/>
        <v>235370</v>
      </c>
      <c r="AG25" s="6">
        <f t="shared" si="9"/>
        <v>878177</v>
      </c>
      <c r="AH25" s="6">
        <f t="shared" si="10"/>
        <v>812979</v>
      </c>
    </row>
    <row r="26" spans="1:34" x14ac:dyDescent="0.2">
      <c r="A26" t="s">
        <v>4</v>
      </c>
      <c r="B26" s="4">
        <v>1276148</v>
      </c>
      <c r="C26" s="4">
        <v>67535</v>
      </c>
      <c r="D26" s="4">
        <v>68554</v>
      </c>
      <c r="E26" s="4">
        <v>69902</v>
      </c>
      <c r="F26" s="4">
        <v>69883</v>
      </c>
      <c r="G26" s="4">
        <v>72464</v>
      </c>
      <c r="H26" s="4">
        <v>72991</v>
      </c>
      <c r="I26" s="4">
        <v>71905</v>
      </c>
      <c r="J26" s="4">
        <v>72286</v>
      </c>
      <c r="K26" s="4">
        <v>72744</v>
      </c>
      <c r="L26" s="4">
        <v>70847</v>
      </c>
      <c r="M26" s="4">
        <v>69488</v>
      </c>
      <c r="N26" s="4">
        <v>71244</v>
      </c>
      <c r="O26" s="4">
        <v>71548</v>
      </c>
      <c r="P26" s="4">
        <v>70283</v>
      </c>
      <c r="Q26" s="4">
        <v>70284</v>
      </c>
      <c r="R26" s="4">
        <v>70727</v>
      </c>
      <c r="S26" s="4">
        <v>70885</v>
      </c>
      <c r="T26" s="4">
        <v>72578</v>
      </c>
      <c r="V26" s="6">
        <f t="shared" si="0"/>
        <v>501505</v>
      </c>
      <c r="W26" s="6">
        <f t="shared" si="1"/>
        <v>426305</v>
      </c>
      <c r="X26" s="6">
        <f t="shared" si="2"/>
        <v>927810</v>
      </c>
      <c r="Z26" s="7">
        <f t="shared" si="3"/>
        <v>0.16141623071932096</v>
      </c>
      <c r="AA26" s="7">
        <f t="shared" si="4"/>
        <v>0.11154427229443607</v>
      </c>
      <c r="AB26" s="7">
        <f t="shared" si="5"/>
        <v>0.39298341571667234</v>
      </c>
      <c r="AC26" s="7">
        <f t="shared" si="6"/>
        <v>0.33405608126957059</v>
      </c>
      <c r="AE26" s="6">
        <f t="shared" si="7"/>
        <v>205991</v>
      </c>
      <c r="AF26" s="6">
        <f t="shared" si="8"/>
        <v>142347</v>
      </c>
      <c r="AG26" s="6">
        <f t="shared" si="9"/>
        <v>501505</v>
      </c>
      <c r="AH26" s="6">
        <f t="shared" si="10"/>
        <v>426305</v>
      </c>
    </row>
    <row r="27" spans="1:34" x14ac:dyDescent="0.2">
      <c r="A27" t="s">
        <v>5</v>
      </c>
      <c r="B27" s="4">
        <v>745333</v>
      </c>
      <c r="C27" s="4">
        <v>39651</v>
      </c>
      <c r="D27" s="4">
        <v>39265</v>
      </c>
      <c r="E27" s="4">
        <v>40274</v>
      </c>
      <c r="F27" s="4">
        <v>41275</v>
      </c>
      <c r="G27" s="4">
        <v>43363</v>
      </c>
      <c r="H27" s="4">
        <v>43933</v>
      </c>
      <c r="I27" s="4">
        <v>41768</v>
      </c>
      <c r="J27" s="4">
        <v>41486</v>
      </c>
      <c r="K27" s="4">
        <v>40973</v>
      </c>
      <c r="L27" s="4">
        <v>40438</v>
      </c>
      <c r="M27" s="4">
        <v>40324</v>
      </c>
      <c r="N27" s="4">
        <v>42262</v>
      </c>
      <c r="O27" s="4">
        <v>43080</v>
      </c>
      <c r="P27" s="4">
        <v>41566</v>
      </c>
      <c r="Q27" s="4">
        <v>41546</v>
      </c>
      <c r="R27" s="4">
        <v>40811</v>
      </c>
      <c r="S27" s="4">
        <v>41316</v>
      </c>
      <c r="T27" s="4">
        <v>42002</v>
      </c>
      <c r="V27" s="6">
        <f t="shared" si="0"/>
        <v>291184</v>
      </c>
      <c r="W27" s="6">
        <f t="shared" si="1"/>
        <v>250321</v>
      </c>
      <c r="X27" s="6">
        <f t="shared" si="2"/>
        <v>541505</v>
      </c>
      <c r="Z27" s="7">
        <f t="shared" si="3"/>
        <v>0.15991509835201179</v>
      </c>
      <c r="AA27" s="7">
        <f t="shared" si="4"/>
        <v>0.11355729586641139</v>
      </c>
      <c r="AB27" s="7">
        <f t="shared" si="5"/>
        <v>0.390676382234518</v>
      </c>
      <c r="AC27" s="7">
        <f t="shared" si="6"/>
        <v>0.33585122354705882</v>
      </c>
      <c r="AE27" s="6">
        <f t="shared" si="7"/>
        <v>119190</v>
      </c>
      <c r="AF27" s="6">
        <f t="shared" si="8"/>
        <v>84638</v>
      </c>
      <c r="AG27" s="6">
        <f t="shared" si="9"/>
        <v>291184</v>
      </c>
      <c r="AH27" s="6">
        <f t="shared" si="10"/>
        <v>250321</v>
      </c>
    </row>
    <row r="28" spans="1:34" x14ac:dyDescent="0.2">
      <c r="A28" t="s">
        <v>6</v>
      </c>
      <c r="B28" s="4">
        <v>1403475</v>
      </c>
      <c r="C28" s="4">
        <v>73870</v>
      </c>
      <c r="D28" s="4">
        <v>74528</v>
      </c>
      <c r="E28" s="4">
        <v>76121</v>
      </c>
      <c r="F28" s="4">
        <v>76183</v>
      </c>
      <c r="G28" s="4">
        <v>78544</v>
      </c>
      <c r="H28" s="4">
        <v>78823</v>
      </c>
      <c r="I28" s="4">
        <v>78994</v>
      </c>
      <c r="J28" s="4">
        <v>77763</v>
      </c>
      <c r="K28" s="4">
        <v>78202</v>
      </c>
      <c r="L28" s="4">
        <v>77207</v>
      </c>
      <c r="M28" s="4">
        <v>76671</v>
      </c>
      <c r="N28" s="4">
        <v>79297</v>
      </c>
      <c r="O28" s="4">
        <v>80170</v>
      </c>
      <c r="P28" s="4">
        <v>79008</v>
      </c>
      <c r="Q28" s="4">
        <v>79603</v>
      </c>
      <c r="R28" s="4">
        <v>78613</v>
      </c>
      <c r="S28" s="4">
        <v>79240</v>
      </c>
      <c r="T28" s="4">
        <v>80638</v>
      </c>
      <c r="V28" s="6">
        <f t="shared" si="0"/>
        <v>546957</v>
      </c>
      <c r="W28" s="6">
        <f t="shared" si="1"/>
        <v>477272</v>
      </c>
      <c r="X28" s="6">
        <f t="shared" si="2"/>
        <v>1024229</v>
      </c>
      <c r="Z28" s="7">
        <f t="shared" si="3"/>
        <v>0.15997363686563709</v>
      </c>
      <c r="AA28" s="7">
        <f t="shared" si="4"/>
        <v>0.11024564028571937</v>
      </c>
      <c r="AB28" s="7">
        <f t="shared" si="5"/>
        <v>0.38971624004702615</v>
      </c>
      <c r="AC28" s="7">
        <f t="shared" si="6"/>
        <v>0.34006448280161744</v>
      </c>
      <c r="AE28" s="6">
        <f t="shared" si="7"/>
        <v>224519</v>
      </c>
      <c r="AF28" s="6">
        <f t="shared" si="8"/>
        <v>154727</v>
      </c>
      <c r="AG28" s="6">
        <f t="shared" si="9"/>
        <v>546957</v>
      </c>
      <c r="AH28" s="6">
        <f t="shared" si="10"/>
        <v>477272</v>
      </c>
    </row>
    <row r="29" spans="1:34" x14ac:dyDescent="0.2">
      <c r="A29" t="s">
        <v>7</v>
      </c>
      <c r="B29" s="4">
        <v>221980</v>
      </c>
      <c r="C29" s="4">
        <v>11884</v>
      </c>
      <c r="D29" s="4">
        <v>11838</v>
      </c>
      <c r="E29" s="4">
        <v>12154</v>
      </c>
      <c r="F29" s="4">
        <v>12520</v>
      </c>
      <c r="G29" s="4">
        <v>12568</v>
      </c>
      <c r="H29" s="4">
        <v>12938</v>
      </c>
      <c r="I29" s="4">
        <v>12425</v>
      </c>
      <c r="J29" s="4">
        <v>12301</v>
      </c>
      <c r="K29" s="4">
        <v>12213</v>
      </c>
      <c r="L29" s="4">
        <v>12194</v>
      </c>
      <c r="M29" s="4">
        <v>12123</v>
      </c>
      <c r="N29" s="4">
        <v>12292</v>
      </c>
      <c r="O29" s="4">
        <v>12157</v>
      </c>
      <c r="P29" s="4">
        <v>12333</v>
      </c>
      <c r="Q29" s="4">
        <v>12296</v>
      </c>
      <c r="R29" s="4">
        <v>12385</v>
      </c>
      <c r="S29" s="4">
        <v>12570</v>
      </c>
      <c r="T29" s="4">
        <v>12789</v>
      </c>
      <c r="V29" s="6">
        <f t="shared" si="0"/>
        <v>86486</v>
      </c>
      <c r="W29" s="6">
        <f t="shared" si="1"/>
        <v>74530</v>
      </c>
      <c r="X29" s="6">
        <f t="shared" si="2"/>
        <v>161016</v>
      </c>
      <c r="Z29" s="7">
        <f t="shared" si="3"/>
        <v>0.16161816379854041</v>
      </c>
      <c r="AA29" s="7">
        <f t="shared" si="4"/>
        <v>0.11301919091810073</v>
      </c>
      <c r="AB29" s="7">
        <f t="shared" si="5"/>
        <v>0.38961167672763314</v>
      </c>
      <c r="AC29" s="7">
        <f t="shared" si="6"/>
        <v>0.33575096855572573</v>
      </c>
      <c r="AE29" s="6">
        <f t="shared" si="7"/>
        <v>35876</v>
      </c>
      <c r="AF29" s="6">
        <f t="shared" si="8"/>
        <v>25088</v>
      </c>
      <c r="AG29" s="6">
        <f t="shared" si="9"/>
        <v>86486</v>
      </c>
      <c r="AH29" s="6">
        <f t="shared" si="10"/>
        <v>74530</v>
      </c>
    </row>
    <row r="30" spans="1:34" x14ac:dyDescent="0.2">
      <c r="A30" t="s">
        <v>8</v>
      </c>
      <c r="B30" s="4">
        <v>463405</v>
      </c>
      <c r="C30" s="4">
        <v>26116</v>
      </c>
      <c r="D30" s="4">
        <v>26665</v>
      </c>
      <c r="E30" s="4">
        <v>26376</v>
      </c>
      <c r="F30" s="4">
        <v>26328</v>
      </c>
      <c r="G30" s="4">
        <v>26783</v>
      </c>
      <c r="H30" s="4">
        <v>26617</v>
      </c>
      <c r="I30" s="4">
        <v>26553</v>
      </c>
      <c r="J30" s="4">
        <v>26314</v>
      </c>
      <c r="K30" s="4">
        <v>26286</v>
      </c>
      <c r="L30" s="4">
        <v>25812</v>
      </c>
      <c r="M30" s="4">
        <v>25368</v>
      </c>
      <c r="N30" s="4">
        <v>25481</v>
      </c>
      <c r="O30" s="4">
        <v>25343</v>
      </c>
      <c r="P30" s="4">
        <v>24782</v>
      </c>
      <c r="Q30" s="4">
        <v>24432</v>
      </c>
      <c r="R30" s="4">
        <v>24378</v>
      </c>
      <c r="S30" s="4">
        <v>24549</v>
      </c>
      <c r="T30" s="4">
        <v>25222</v>
      </c>
      <c r="V30" s="6">
        <f t="shared" si="0"/>
        <v>182431</v>
      </c>
      <c r="W30" s="6">
        <f t="shared" si="1"/>
        <v>148706</v>
      </c>
      <c r="X30" s="6">
        <f t="shared" si="2"/>
        <v>331137</v>
      </c>
      <c r="Z30" s="7">
        <f t="shared" si="3"/>
        <v>0.17081602485946418</v>
      </c>
      <c r="AA30" s="7">
        <f t="shared" si="4"/>
        <v>0.11461033005686171</v>
      </c>
      <c r="AB30" s="7">
        <f t="shared" si="5"/>
        <v>0.3936750790345378</v>
      </c>
      <c r="AC30" s="7">
        <f t="shared" si="6"/>
        <v>0.3208985660491363</v>
      </c>
      <c r="AE30" s="6">
        <f t="shared" si="7"/>
        <v>79157</v>
      </c>
      <c r="AF30" s="6">
        <f t="shared" si="8"/>
        <v>53111</v>
      </c>
      <c r="AG30" s="6">
        <f t="shared" si="9"/>
        <v>182431</v>
      </c>
      <c r="AH30" s="6">
        <f t="shared" si="10"/>
        <v>148706</v>
      </c>
    </row>
    <row r="31" spans="1:34" x14ac:dyDescent="0.2">
      <c r="A31" t="s">
        <v>92</v>
      </c>
      <c r="B31" s="4">
        <v>663583</v>
      </c>
      <c r="C31" s="4">
        <v>35877</v>
      </c>
      <c r="D31" s="4">
        <v>36127</v>
      </c>
      <c r="E31" s="4">
        <v>36456</v>
      </c>
      <c r="F31" s="4">
        <v>36434</v>
      </c>
      <c r="G31" s="4">
        <v>38407</v>
      </c>
      <c r="H31" s="4">
        <v>37993</v>
      </c>
      <c r="I31" s="4">
        <v>37396</v>
      </c>
      <c r="J31" s="4">
        <v>36734</v>
      </c>
      <c r="K31" s="4">
        <v>36844</v>
      </c>
      <c r="L31" s="4">
        <v>36269</v>
      </c>
      <c r="M31" s="4">
        <v>36122</v>
      </c>
      <c r="N31" s="4">
        <v>36949</v>
      </c>
      <c r="O31" s="4">
        <v>37239</v>
      </c>
      <c r="P31" s="4">
        <v>36722</v>
      </c>
      <c r="Q31" s="4">
        <v>36189</v>
      </c>
      <c r="R31" s="4">
        <v>36636</v>
      </c>
      <c r="S31" s="4">
        <v>37507</v>
      </c>
      <c r="T31" s="4">
        <v>37682</v>
      </c>
      <c r="V31" s="6">
        <f t="shared" si="0"/>
        <v>258307</v>
      </c>
      <c r="W31" s="6">
        <f t="shared" si="1"/>
        <v>221975</v>
      </c>
      <c r="X31" s="6">
        <f t="shared" si="2"/>
        <v>480282</v>
      </c>
      <c r="Z31" s="7">
        <f t="shared" si="3"/>
        <v>0.16344601956349092</v>
      </c>
      <c r="AA31" s="7">
        <f t="shared" si="4"/>
        <v>0.11278317859257998</v>
      </c>
      <c r="AB31" s="7">
        <f t="shared" si="5"/>
        <v>0.38926102687983266</v>
      </c>
      <c r="AC31" s="7">
        <f t="shared" si="6"/>
        <v>0.33450977496409645</v>
      </c>
      <c r="AE31" s="6">
        <f t="shared" si="7"/>
        <v>108460</v>
      </c>
      <c r="AF31" s="6">
        <f t="shared" si="8"/>
        <v>74841</v>
      </c>
      <c r="AG31" s="6">
        <f t="shared" si="9"/>
        <v>258307</v>
      </c>
      <c r="AH31" s="6">
        <f t="shared" si="10"/>
        <v>221975</v>
      </c>
    </row>
    <row r="32" spans="1:34" x14ac:dyDescent="0.2">
      <c r="A32" t="s">
        <v>9</v>
      </c>
      <c r="B32" s="4">
        <v>274840</v>
      </c>
      <c r="C32" s="4">
        <v>12629</v>
      </c>
      <c r="D32" s="4">
        <v>12943</v>
      </c>
      <c r="E32" s="4">
        <v>13059</v>
      </c>
      <c r="F32" s="4">
        <v>13469</v>
      </c>
      <c r="G32" s="4">
        <v>13853</v>
      </c>
      <c r="H32" s="4">
        <v>14401</v>
      </c>
      <c r="I32" s="4">
        <v>14703</v>
      </c>
      <c r="J32" s="4">
        <v>14855</v>
      </c>
      <c r="K32" s="4">
        <v>15236</v>
      </c>
      <c r="L32" s="4">
        <v>15536</v>
      </c>
      <c r="M32" s="4">
        <v>15724</v>
      </c>
      <c r="N32" s="4">
        <v>15840</v>
      </c>
      <c r="O32" s="4">
        <v>16512</v>
      </c>
      <c r="P32" s="4">
        <v>16308</v>
      </c>
      <c r="Q32" s="4">
        <v>16910</v>
      </c>
      <c r="R32" s="4">
        <v>17195</v>
      </c>
      <c r="S32" s="4">
        <v>17766</v>
      </c>
      <c r="T32" s="4">
        <v>17901</v>
      </c>
      <c r="V32" s="6">
        <f t="shared" si="0"/>
        <v>106295</v>
      </c>
      <c r="W32" s="6">
        <f t="shared" si="1"/>
        <v>102592</v>
      </c>
      <c r="X32" s="6">
        <f t="shared" si="2"/>
        <v>208887</v>
      </c>
      <c r="Z32" s="7">
        <f t="shared" si="3"/>
        <v>0.14055814291951682</v>
      </c>
      <c r="AA32" s="7">
        <f t="shared" si="4"/>
        <v>9.9410566147576776E-2</v>
      </c>
      <c r="AB32" s="7">
        <f t="shared" si="5"/>
        <v>0.38675229224275942</v>
      </c>
      <c r="AC32" s="7">
        <f t="shared" si="6"/>
        <v>0.37327899869014697</v>
      </c>
      <c r="AE32" s="6">
        <f t="shared" si="7"/>
        <v>38631</v>
      </c>
      <c r="AF32" s="6">
        <f t="shared" si="8"/>
        <v>27322</v>
      </c>
      <c r="AG32" s="6">
        <f t="shared" si="9"/>
        <v>106295</v>
      </c>
      <c r="AH32" s="6">
        <f t="shared" si="10"/>
        <v>102592</v>
      </c>
    </row>
    <row r="33" spans="1:34" x14ac:dyDescent="0.2">
      <c r="A33" t="s">
        <v>10</v>
      </c>
      <c r="B33" s="4">
        <v>2026384</v>
      </c>
      <c r="C33" s="4">
        <v>102766</v>
      </c>
      <c r="D33" s="4">
        <v>103227</v>
      </c>
      <c r="E33" s="4">
        <v>106395</v>
      </c>
      <c r="F33" s="4">
        <v>105656</v>
      </c>
      <c r="G33" s="4">
        <v>109605</v>
      </c>
      <c r="H33" s="4">
        <v>111009</v>
      </c>
      <c r="I33" s="4">
        <v>110928</v>
      </c>
      <c r="J33" s="4">
        <v>112101</v>
      </c>
      <c r="K33" s="4">
        <v>113882</v>
      </c>
      <c r="L33" s="4">
        <v>112806</v>
      </c>
      <c r="M33" s="4">
        <v>112355</v>
      </c>
      <c r="N33" s="4">
        <v>114803</v>
      </c>
      <c r="O33" s="4">
        <v>117510</v>
      </c>
      <c r="P33" s="4">
        <v>116643</v>
      </c>
      <c r="Q33" s="4">
        <v>117198</v>
      </c>
      <c r="R33" s="4">
        <v>118348</v>
      </c>
      <c r="S33" s="4">
        <v>118898</v>
      </c>
      <c r="T33" s="4">
        <v>122254</v>
      </c>
      <c r="V33" s="6">
        <f t="shared" si="0"/>
        <v>787884</v>
      </c>
      <c r="W33" s="6">
        <f t="shared" si="1"/>
        <v>710851</v>
      </c>
      <c r="X33" s="6">
        <f t="shared" si="2"/>
        <v>1498735</v>
      </c>
      <c r="Z33" s="7">
        <f t="shared" si="3"/>
        <v>0.15416031709685823</v>
      </c>
      <c r="AA33" s="7">
        <f t="shared" si="4"/>
        <v>0.10622912537801325</v>
      </c>
      <c r="AB33" s="7">
        <f t="shared" si="5"/>
        <v>0.38881278178272233</v>
      </c>
      <c r="AC33" s="7">
        <f t="shared" si="6"/>
        <v>0.35079777574240617</v>
      </c>
      <c r="AE33" s="6">
        <f t="shared" si="7"/>
        <v>312388</v>
      </c>
      <c r="AF33" s="6">
        <f t="shared" si="8"/>
        <v>215261</v>
      </c>
      <c r="AG33" s="6">
        <f t="shared" si="9"/>
        <v>787884</v>
      </c>
      <c r="AH33" s="6">
        <f t="shared" si="10"/>
        <v>710851</v>
      </c>
    </row>
    <row r="34" spans="1:34" x14ac:dyDescent="0.2">
      <c r="A34" t="s">
        <v>11</v>
      </c>
      <c r="B34" s="4">
        <v>514442</v>
      </c>
      <c r="C34" s="4">
        <v>28331</v>
      </c>
      <c r="D34" s="4">
        <v>28857</v>
      </c>
      <c r="E34" s="4">
        <v>28422</v>
      </c>
      <c r="F34" s="4">
        <v>28312</v>
      </c>
      <c r="G34" s="4">
        <v>29614</v>
      </c>
      <c r="H34" s="4">
        <v>29293</v>
      </c>
      <c r="I34" s="4">
        <v>29117</v>
      </c>
      <c r="J34" s="4">
        <v>29004</v>
      </c>
      <c r="K34" s="4">
        <v>28692</v>
      </c>
      <c r="L34" s="4">
        <v>28130</v>
      </c>
      <c r="M34" s="4">
        <v>28467</v>
      </c>
      <c r="N34" s="4">
        <v>28506</v>
      </c>
      <c r="O34" s="4">
        <v>28880</v>
      </c>
      <c r="P34" s="4">
        <v>28503</v>
      </c>
      <c r="Q34" s="4">
        <v>27959</v>
      </c>
      <c r="R34" s="4">
        <v>27595</v>
      </c>
      <c r="S34" s="4">
        <v>27962</v>
      </c>
      <c r="T34" s="4">
        <v>28798</v>
      </c>
      <c r="V34" s="6">
        <f t="shared" si="0"/>
        <v>201209</v>
      </c>
      <c r="W34" s="6">
        <f t="shared" si="1"/>
        <v>169697</v>
      </c>
      <c r="X34" s="6">
        <f t="shared" si="2"/>
        <v>370906</v>
      </c>
      <c r="Z34" s="7">
        <f t="shared" si="3"/>
        <v>0.16641331773066739</v>
      </c>
      <c r="AA34" s="7">
        <f t="shared" si="4"/>
        <v>0.11259967109994908</v>
      </c>
      <c r="AB34" s="7">
        <f t="shared" si="5"/>
        <v>0.3911208649371552</v>
      </c>
      <c r="AC34" s="7">
        <f t="shared" si="6"/>
        <v>0.32986614623222832</v>
      </c>
      <c r="AE34" s="6">
        <f t="shared" si="7"/>
        <v>85610</v>
      </c>
      <c r="AF34" s="6">
        <f t="shared" si="8"/>
        <v>57926</v>
      </c>
      <c r="AG34" s="6">
        <f t="shared" si="9"/>
        <v>201209</v>
      </c>
      <c r="AH34" s="6">
        <f t="shared" si="10"/>
        <v>169697</v>
      </c>
    </row>
    <row r="35" spans="1:34" x14ac:dyDescent="0.2">
      <c r="A35" t="s">
        <v>12</v>
      </c>
      <c r="B35" s="4">
        <v>4263154</v>
      </c>
      <c r="C35" s="4">
        <v>237068</v>
      </c>
      <c r="D35" s="4">
        <v>243174</v>
      </c>
      <c r="E35" s="4">
        <v>230320</v>
      </c>
      <c r="F35" s="4">
        <v>225583</v>
      </c>
      <c r="G35" s="4">
        <v>231040</v>
      </c>
      <c r="H35" s="4">
        <v>230938</v>
      </c>
      <c r="I35" s="4">
        <v>229266</v>
      </c>
      <c r="J35" s="4">
        <v>230412</v>
      </c>
      <c r="K35" s="4">
        <v>232139</v>
      </c>
      <c r="L35" s="4">
        <v>231711</v>
      </c>
      <c r="M35" s="4">
        <v>231142</v>
      </c>
      <c r="N35" s="4">
        <v>235194</v>
      </c>
      <c r="O35" s="4">
        <v>241305</v>
      </c>
      <c r="P35" s="4">
        <v>238495</v>
      </c>
      <c r="Q35" s="4">
        <v>240856</v>
      </c>
      <c r="R35" s="4">
        <v>244777</v>
      </c>
      <c r="S35" s="4">
        <v>250536</v>
      </c>
      <c r="T35" s="4">
        <v>259198</v>
      </c>
      <c r="V35" s="6">
        <f t="shared" si="0"/>
        <v>1620802</v>
      </c>
      <c r="W35" s="6">
        <f t="shared" si="1"/>
        <v>1475167</v>
      </c>
      <c r="X35" s="6">
        <f t="shared" si="2"/>
        <v>3095969</v>
      </c>
      <c r="Z35" s="7">
        <f t="shared" si="3"/>
        <v>0.16667518930819764</v>
      </c>
      <c r="AA35" s="7">
        <f t="shared" si="4"/>
        <v>0.10710919661827839</v>
      </c>
      <c r="AB35" s="7">
        <f t="shared" si="5"/>
        <v>0.38018847078946716</v>
      </c>
      <c r="AC35" s="7">
        <f t="shared" si="6"/>
        <v>0.34602714328405682</v>
      </c>
      <c r="AE35" s="6">
        <f t="shared" si="7"/>
        <v>710562</v>
      </c>
      <c r="AF35" s="6">
        <f t="shared" si="8"/>
        <v>456623</v>
      </c>
      <c r="AG35" s="6">
        <f t="shared" si="9"/>
        <v>1620802</v>
      </c>
      <c r="AH35" s="6">
        <f t="shared" si="10"/>
        <v>1475167</v>
      </c>
    </row>
    <row r="36" spans="1:34" x14ac:dyDescent="0.2">
      <c r="A36" t="s">
        <v>13</v>
      </c>
      <c r="B36" s="4">
        <v>2286528</v>
      </c>
      <c r="C36" s="4">
        <v>120328</v>
      </c>
      <c r="D36" s="4">
        <v>120322</v>
      </c>
      <c r="E36" s="4">
        <v>124558</v>
      </c>
      <c r="F36" s="4">
        <v>125774</v>
      </c>
      <c r="G36" s="4">
        <v>128958</v>
      </c>
      <c r="H36" s="4">
        <v>129900</v>
      </c>
      <c r="I36" s="4">
        <v>129068</v>
      </c>
      <c r="J36" s="4">
        <v>127755</v>
      </c>
      <c r="K36" s="4">
        <v>128500</v>
      </c>
      <c r="L36" s="4">
        <v>127127</v>
      </c>
      <c r="M36" s="4">
        <v>128147</v>
      </c>
      <c r="N36" s="4">
        <v>132118</v>
      </c>
      <c r="O36" s="4">
        <v>132069</v>
      </c>
      <c r="P36" s="4">
        <v>129038</v>
      </c>
      <c r="Q36" s="4">
        <v>127140</v>
      </c>
      <c r="R36" s="4">
        <v>124722</v>
      </c>
      <c r="S36" s="4">
        <v>124606</v>
      </c>
      <c r="T36" s="4">
        <v>126398</v>
      </c>
      <c r="V36" s="6">
        <f t="shared" si="0"/>
        <v>902615</v>
      </c>
      <c r="W36" s="6">
        <f t="shared" si="1"/>
        <v>763973</v>
      </c>
      <c r="X36" s="6">
        <f t="shared" si="2"/>
        <v>1666588</v>
      </c>
      <c r="Z36" s="7">
        <f t="shared" si="3"/>
        <v>0.15972163909648165</v>
      </c>
      <c r="AA36" s="7">
        <f t="shared" si="4"/>
        <v>0.1114055896100988</v>
      </c>
      <c r="AB36" s="7">
        <f t="shared" si="5"/>
        <v>0.3947535302432334</v>
      </c>
      <c r="AC36" s="7">
        <f t="shared" si="6"/>
        <v>0.33411924105018614</v>
      </c>
      <c r="AE36" s="6">
        <f t="shared" si="7"/>
        <v>365208</v>
      </c>
      <c r="AF36" s="6">
        <f t="shared" si="8"/>
        <v>254732</v>
      </c>
      <c r="AG36" s="6">
        <f t="shared" si="9"/>
        <v>902615</v>
      </c>
      <c r="AH36" s="6">
        <f t="shared" si="10"/>
        <v>763973</v>
      </c>
    </row>
    <row r="37" spans="1:34" x14ac:dyDescent="0.2">
      <c r="A37" t="s">
        <v>14</v>
      </c>
      <c r="B37" s="4">
        <v>154608</v>
      </c>
      <c r="C37" s="4">
        <v>9122</v>
      </c>
      <c r="D37" s="4">
        <v>9213</v>
      </c>
      <c r="E37" s="4">
        <v>9194</v>
      </c>
      <c r="F37" s="4">
        <v>9324</v>
      </c>
      <c r="G37" s="4">
        <v>9256</v>
      </c>
      <c r="H37" s="4">
        <v>9255</v>
      </c>
      <c r="I37" s="4">
        <v>8913</v>
      </c>
      <c r="J37" s="4">
        <v>8655</v>
      </c>
      <c r="K37" s="4">
        <v>8432</v>
      </c>
      <c r="L37" s="4">
        <v>8159</v>
      </c>
      <c r="M37" s="4">
        <v>7952</v>
      </c>
      <c r="N37" s="4">
        <v>7916</v>
      </c>
      <c r="O37" s="4">
        <v>8018</v>
      </c>
      <c r="P37" s="4">
        <v>8000</v>
      </c>
      <c r="Q37" s="4">
        <v>8231</v>
      </c>
      <c r="R37" s="4">
        <v>8275</v>
      </c>
      <c r="S37" s="4">
        <v>8280</v>
      </c>
      <c r="T37" s="4">
        <v>8413</v>
      </c>
      <c r="V37" s="6">
        <f t="shared" si="0"/>
        <v>59282</v>
      </c>
      <c r="W37" s="6">
        <f t="shared" si="1"/>
        <v>49217</v>
      </c>
      <c r="X37" s="6">
        <f t="shared" si="2"/>
        <v>108499</v>
      </c>
      <c r="Z37" s="7">
        <f t="shared" si="3"/>
        <v>0.17805676291006933</v>
      </c>
      <c r="AA37" s="7">
        <f t="shared" si="4"/>
        <v>0.12017489392528201</v>
      </c>
      <c r="AB37" s="7">
        <f t="shared" si="5"/>
        <v>0.3834342336748422</v>
      </c>
      <c r="AC37" s="7">
        <f t="shared" si="6"/>
        <v>0.3183341094898065</v>
      </c>
      <c r="AE37" s="6">
        <f t="shared" si="7"/>
        <v>27529</v>
      </c>
      <c r="AF37" s="6">
        <f t="shared" si="8"/>
        <v>18580</v>
      </c>
      <c r="AG37" s="6">
        <f t="shared" si="9"/>
        <v>59282</v>
      </c>
      <c r="AH37" s="6">
        <f t="shared" si="10"/>
        <v>49217</v>
      </c>
    </row>
    <row r="38" spans="1:34" x14ac:dyDescent="0.2">
      <c r="A38" t="s">
        <v>15</v>
      </c>
      <c r="B38" s="4">
        <v>2663674</v>
      </c>
      <c r="C38" s="4">
        <v>134419</v>
      </c>
      <c r="D38" s="4">
        <v>135641</v>
      </c>
      <c r="E38" s="4">
        <v>139333</v>
      </c>
      <c r="F38" s="4">
        <v>141168</v>
      </c>
      <c r="G38" s="4">
        <v>144309</v>
      </c>
      <c r="H38" s="4">
        <v>147033</v>
      </c>
      <c r="I38" s="4">
        <v>147130</v>
      </c>
      <c r="J38" s="4">
        <v>145702</v>
      </c>
      <c r="K38" s="4">
        <v>148501</v>
      </c>
      <c r="L38" s="4">
        <v>147306</v>
      </c>
      <c r="M38" s="4">
        <v>148844</v>
      </c>
      <c r="N38" s="4">
        <v>153698</v>
      </c>
      <c r="O38" s="4">
        <v>155662</v>
      </c>
      <c r="P38" s="4">
        <v>153525</v>
      </c>
      <c r="Q38" s="4">
        <v>154752</v>
      </c>
      <c r="R38" s="4">
        <v>152641</v>
      </c>
      <c r="S38" s="4">
        <v>155785</v>
      </c>
      <c r="T38" s="4">
        <v>158225</v>
      </c>
      <c r="V38" s="6">
        <f t="shared" si="0"/>
        <v>1038214</v>
      </c>
      <c r="W38" s="6">
        <f t="shared" si="1"/>
        <v>930590</v>
      </c>
      <c r="X38" s="6">
        <f t="shared" si="2"/>
        <v>1968804</v>
      </c>
      <c r="Z38" s="7">
        <f t="shared" si="3"/>
        <v>0.15369485905557512</v>
      </c>
      <c r="AA38" s="7">
        <f t="shared" si="4"/>
        <v>0.10717415119117429</v>
      </c>
      <c r="AB38" s="7">
        <f t="shared" si="5"/>
        <v>0.38976766676402591</v>
      </c>
      <c r="AC38" s="7">
        <f t="shared" si="6"/>
        <v>0.34936332298922468</v>
      </c>
      <c r="AE38" s="6">
        <f t="shared" si="7"/>
        <v>409393</v>
      </c>
      <c r="AF38" s="6">
        <f t="shared" si="8"/>
        <v>285477</v>
      </c>
      <c r="AG38" s="6">
        <f t="shared" si="9"/>
        <v>1038214</v>
      </c>
      <c r="AH38" s="6">
        <f t="shared" si="10"/>
        <v>930590</v>
      </c>
    </row>
    <row r="39" spans="1:34" x14ac:dyDescent="0.2">
      <c r="A39" t="s">
        <v>16</v>
      </c>
      <c r="B39" s="4">
        <v>937363</v>
      </c>
      <c r="C39" s="4">
        <v>51481</v>
      </c>
      <c r="D39" s="4">
        <v>50375</v>
      </c>
      <c r="E39" s="4">
        <v>52875</v>
      </c>
      <c r="F39" s="4">
        <v>53127</v>
      </c>
      <c r="G39" s="4">
        <v>54100</v>
      </c>
      <c r="H39" s="4">
        <v>54409</v>
      </c>
      <c r="I39" s="4">
        <v>52990</v>
      </c>
      <c r="J39" s="4">
        <v>52951</v>
      </c>
      <c r="K39" s="4">
        <v>52636</v>
      </c>
      <c r="L39" s="4">
        <v>51973</v>
      </c>
      <c r="M39" s="4">
        <v>51869</v>
      </c>
      <c r="N39" s="4">
        <v>51614</v>
      </c>
      <c r="O39" s="4">
        <v>52649</v>
      </c>
      <c r="P39" s="4">
        <v>52138</v>
      </c>
      <c r="Q39" s="4">
        <v>51574</v>
      </c>
      <c r="R39" s="4">
        <v>49852</v>
      </c>
      <c r="S39" s="4">
        <v>49886</v>
      </c>
      <c r="T39" s="4">
        <v>50864</v>
      </c>
      <c r="V39" s="6">
        <f t="shared" si="0"/>
        <v>368442</v>
      </c>
      <c r="W39" s="6">
        <f t="shared" si="1"/>
        <v>306963</v>
      </c>
      <c r="X39" s="6">
        <f t="shared" si="2"/>
        <v>675405</v>
      </c>
      <c r="Z39" s="7">
        <f t="shared" si="3"/>
        <v>0.16507052230565961</v>
      </c>
      <c r="AA39" s="7">
        <f t="shared" si="4"/>
        <v>0.1143921831777017</v>
      </c>
      <c r="AB39" s="7">
        <f t="shared" si="5"/>
        <v>0.39306223949526492</v>
      </c>
      <c r="AC39" s="7">
        <f t="shared" si="6"/>
        <v>0.32747505502137381</v>
      </c>
      <c r="AE39" s="6">
        <f t="shared" si="7"/>
        <v>154731</v>
      </c>
      <c r="AF39" s="6">
        <f t="shared" si="8"/>
        <v>107227</v>
      </c>
      <c r="AG39" s="6">
        <f t="shared" si="9"/>
        <v>368442</v>
      </c>
      <c r="AH39" s="6">
        <f t="shared" si="10"/>
        <v>306963</v>
      </c>
    </row>
    <row r="40" spans="1:34" x14ac:dyDescent="0.2">
      <c r="A40" t="s">
        <v>17</v>
      </c>
      <c r="B40" s="4">
        <v>860624</v>
      </c>
      <c r="C40" s="4">
        <v>45237</v>
      </c>
      <c r="D40" s="4">
        <v>45196</v>
      </c>
      <c r="E40" s="4">
        <v>46634</v>
      </c>
      <c r="F40" s="4">
        <v>46986</v>
      </c>
      <c r="G40" s="4">
        <v>48463</v>
      </c>
      <c r="H40" s="4">
        <v>48629</v>
      </c>
      <c r="I40" s="4">
        <v>47874</v>
      </c>
      <c r="J40" s="4">
        <v>47261</v>
      </c>
      <c r="K40" s="4">
        <v>47862</v>
      </c>
      <c r="L40" s="4">
        <v>47415</v>
      </c>
      <c r="M40" s="4">
        <v>47072</v>
      </c>
      <c r="N40" s="4">
        <v>48073</v>
      </c>
      <c r="O40" s="4">
        <v>49222</v>
      </c>
      <c r="P40" s="4">
        <v>48623</v>
      </c>
      <c r="Q40" s="4">
        <v>48405</v>
      </c>
      <c r="R40" s="4">
        <v>49109</v>
      </c>
      <c r="S40" s="4">
        <v>48788</v>
      </c>
      <c r="T40" s="4">
        <v>49775</v>
      </c>
      <c r="V40" s="6">
        <f t="shared" si="0"/>
        <v>334186</v>
      </c>
      <c r="W40" s="6">
        <f t="shared" si="1"/>
        <v>293922</v>
      </c>
      <c r="X40" s="6">
        <f t="shared" si="2"/>
        <v>628108</v>
      </c>
      <c r="Z40" s="7">
        <f t="shared" si="3"/>
        <v>0.15926467307442041</v>
      </c>
      <c r="AA40" s="7">
        <f t="shared" si="4"/>
        <v>0.11090673743702244</v>
      </c>
      <c r="AB40" s="7">
        <f t="shared" si="5"/>
        <v>0.38830662403093569</v>
      </c>
      <c r="AC40" s="7">
        <f t="shared" si="6"/>
        <v>0.34152196545762142</v>
      </c>
      <c r="AE40" s="6">
        <f t="shared" si="7"/>
        <v>137067</v>
      </c>
      <c r="AF40" s="6">
        <f t="shared" si="8"/>
        <v>95449</v>
      </c>
      <c r="AG40" s="6">
        <f t="shared" si="9"/>
        <v>334186</v>
      </c>
      <c r="AH40" s="6">
        <f t="shared" si="10"/>
        <v>293922</v>
      </c>
    </row>
    <row r="41" spans="1:34" x14ac:dyDescent="0.2">
      <c r="A41" t="s">
        <v>18</v>
      </c>
      <c r="B41" s="4">
        <v>2739386</v>
      </c>
      <c r="C41" s="4">
        <v>140868</v>
      </c>
      <c r="D41" s="4">
        <v>144549</v>
      </c>
      <c r="E41" s="4">
        <v>142812</v>
      </c>
      <c r="F41" s="4">
        <v>143764</v>
      </c>
      <c r="G41" s="4">
        <v>147710</v>
      </c>
      <c r="H41" s="4">
        <v>148745</v>
      </c>
      <c r="I41" s="4">
        <v>149604</v>
      </c>
      <c r="J41" s="4">
        <v>148937</v>
      </c>
      <c r="K41" s="4">
        <v>151201</v>
      </c>
      <c r="L41" s="4">
        <v>150497</v>
      </c>
      <c r="M41" s="4">
        <v>150380</v>
      </c>
      <c r="N41" s="4">
        <v>154574</v>
      </c>
      <c r="O41" s="4">
        <v>158739</v>
      </c>
      <c r="P41" s="4">
        <v>156637</v>
      </c>
      <c r="Q41" s="4">
        <v>158136</v>
      </c>
      <c r="R41" s="4">
        <v>159677</v>
      </c>
      <c r="S41" s="4">
        <v>163805</v>
      </c>
      <c r="T41" s="4">
        <v>168751</v>
      </c>
      <c r="V41" s="6">
        <f t="shared" si="0"/>
        <v>1053938</v>
      </c>
      <c r="W41" s="6">
        <f t="shared" si="1"/>
        <v>965745</v>
      </c>
      <c r="X41" s="6">
        <f t="shared" si="2"/>
        <v>2019683</v>
      </c>
      <c r="Z41" s="7">
        <f t="shared" si="3"/>
        <v>0.15632298624582297</v>
      </c>
      <c r="AA41" s="7">
        <f t="shared" si="4"/>
        <v>0.1064012154548501</v>
      </c>
      <c r="AB41" s="7">
        <f t="shared" si="5"/>
        <v>0.38473511947567812</v>
      </c>
      <c r="AC41" s="7">
        <f t="shared" si="6"/>
        <v>0.35254067882364881</v>
      </c>
      <c r="AE41" s="6">
        <f t="shared" si="7"/>
        <v>428229</v>
      </c>
      <c r="AF41" s="6">
        <f t="shared" si="8"/>
        <v>291474</v>
      </c>
      <c r="AG41" s="6">
        <f t="shared" si="9"/>
        <v>1053938</v>
      </c>
      <c r="AH41" s="6">
        <f t="shared" si="10"/>
        <v>965745</v>
      </c>
    </row>
    <row r="42" spans="1:34" x14ac:dyDescent="0.2">
      <c r="A42" t="s">
        <v>19</v>
      </c>
      <c r="B42" s="4">
        <v>216474</v>
      </c>
      <c r="C42" s="4">
        <v>10729</v>
      </c>
      <c r="D42" s="4">
        <v>10865</v>
      </c>
      <c r="E42" s="4">
        <v>10926</v>
      </c>
      <c r="F42" s="4">
        <v>10941</v>
      </c>
      <c r="G42" s="4">
        <v>11607</v>
      </c>
      <c r="H42" s="4">
        <v>11509</v>
      </c>
      <c r="I42" s="4">
        <v>12011</v>
      </c>
      <c r="J42" s="4">
        <v>11868</v>
      </c>
      <c r="K42" s="4">
        <v>12295</v>
      </c>
      <c r="L42" s="4">
        <v>11956</v>
      </c>
      <c r="M42" s="4">
        <v>12126</v>
      </c>
      <c r="N42" s="4">
        <v>12028</v>
      </c>
      <c r="O42" s="4">
        <v>12490</v>
      </c>
      <c r="P42" s="4">
        <v>12632</v>
      </c>
      <c r="Q42" s="4">
        <v>12716</v>
      </c>
      <c r="R42" s="4">
        <v>12934</v>
      </c>
      <c r="S42" s="4">
        <v>13104</v>
      </c>
      <c r="T42" s="4">
        <v>13737</v>
      </c>
      <c r="V42" s="6">
        <f t="shared" si="0"/>
        <v>83793</v>
      </c>
      <c r="W42" s="6">
        <f t="shared" si="1"/>
        <v>77613</v>
      </c>
      <c r="X42" s="6">
        <f t="shared" si="2"/>
        <v>161406</v>
      </c>
      <c r="Z42" s="7">
        <f t="shared" si="3"/>
        <v>0.15022589317885751</v>
      </c>
      <c r="AA42" s="7">
        <f t="shared" si="4"/>
        <v>0.10416031486460267</v>
      </c>
      <c r="AB42" s="7">
        <f t="shared" si="5"/>
        <v>0.3870811275257075</v>
      </c>
      <c r="AC42" s="7">
        <f t="shared" si="6"/>
        <v>0.35853266443083232</v>
      </c>
      <c r="AE42" s="6">
        <f t="shared" si="7"/>
        <v>32520</v>
      </c>
      <c r="AF42" s="6">
        <f t="shared" si="8"/>
        <v>22548</v>
      </c>
      <c r="AG42" s="6">
        <f t="shared" si="9"/>
        <v>83793</v>
      </c>
      <c r="AH42" s="6">
        <f t="shared" si="10"/>
        <v>77613</v>
      </c>
    </row>
    <row r="43" spans="1:34" x14ac:dyDescent="0.2">
      <c r="A43" t="s">
        <v>20</v>
      </c>
      <c r="B43" s="4">
        <v>1080090</v>
      </c>
      <c r="C43" s="4">
        <v>57557</v>
      </c>
      <c r="D43" s="4">
        <v>57177</v>
      </c>
      <c r="E43" s="4">
        <v>59572</v>
      </c>
      <c r="F43" s="4">
        <v>60413</v>
      </c>
      <c r="G43" s="4">
        <v>61682</v>
      </c>
      <c r="H43" s="4">
        <v>62947</v>
      </c>
      <c r="I43" s="4">
        <v>60502</v>
      </c>
      <c r="J43" s="4">
        <v>59903</v>
      </c>
      <c r="K43" s="4">
        <v>59518</v>
      </c>
      <c r="L43" s="4">
        <v>59245</v>
      </c>
      <c r="M43" s="4">
        <v>59504</v>
      </c>
      <c r="N43" s="4">
        <v>61003</v>
      </c>
      <c r="O43" s="4">
        <v>62639</v>
      </c>
      <c r="P43" s="4">
        <v>60170</v>
      </c>
      <c r="Q43" s="4">
        <v>59955</v>
      </c>
      <c r="R43" s="4">
        <v>59146</v>
      </c>
      <c r="S43" s="4">
        <v>58776</v>
      </c>
      <c r="T43" s="4">
        <v>60381</v>
      </c>
      <c r="V43" s="6">
        <f t="shared" si="0"/>
        <v>422622</v>
      </c>
      <c r="W43" s="6">
        <f t="shared" si="1"/>
        <v>361067</v>
      </c>
      <c r="X43" s="6">
        <f t="shared" si="2"/>
        <v>783689</v>
      </c>
      <c r="Z43" s="7">
        <f t="shared" si="3"/>
        <v>0.16138099602810876</v>
      </c>
      <c r="AA43" s="7">
        <f t="shared" si="4"/>
        <v>0.11304150580044256</v>
      </c>
      <c r="AB43" s="7">
        <f t="shared" si="5"/>
        <v>0.39128405966169488</v>
      </c>
      <c r="AC43" s="7">
        <f t="shared" si="6"/>
        <v>0.33429343850975379</v>
      </c>
      <c r="AE43" s="6">
        <f t="shared" si="7"/>
        <v>174306</v>
      </c>
      <c r="AF43" s="6">
        <f t="shared" si="8"/>
        <v>122095</v>
      </c>
      <c r="AG43" s="6">
        <f t="shared" si="9"/>
        <v>422622</v>
      </c>
      <c r="AH43" s="6">
        <f t="shared" si="10"/>
        <v>361067</v>
      </c>
    </row>
    <row r="44" spans="1:34" x14ac:dyDescent="0.2">
      <c r="A44" t="s">
        <v>21</v>
      </c>
      <c r="B44" s="4">
        <v>204169</v>
      </c>
      <c r="C44" s="4">
        <v>11682</v>
      </c>
      <c r="D44" s="4">
        <v>11747</v>
      </c>
      <c r="E44" s="4">
        <v>11687</v>
      </c>
      <c r="F44" s="4">
        <v>11849</v>
      </c>
      <c r="G44" s="4">
        <v>12237</v>
      </c>
      <c r="H44" s="4">
        <v>12207</v>
      </c>
      <c r="I44" s="4">
        <v>11812</v>
      </c>
      <c r="J44" s="4">
        <v>11649</v>
      </c>
      <c r="K44" s="4">
        <v>11386</v>
      </c>
      <c r="L44" s="4">
        <v>10956</v>
      </c>
      <c r="M44" s="4">
        <v>10672</v>
      </c>
      <c r="N44" s="4">
        <v>10775</v>
      </c>
      <c r="O44" s="4">
        <v>11069</v>
      </c>
      <c r="P44" s="4">
        <v>10833</v>
      </c>
      <c r="Q44" s="4">
        <v>10607</v>
      </c>
      <c r="R44" s="4">
        <v>10889</v>
      </c>
      <c r="S44" s="4">
        <v>11006</v>
      </c>
      <c r="T44" s="4">
        <v>11106</v>
      </c>
      <c r="V44" s="6">
        <f t="shared" si="0"/>
        <v>79457</v>
      </c>
      <c r="W44" s="6">
        <f t="shared" si="1"/>
        <v>65510</v>
      </c>
      <c r="X44" s="6">
        <f t="shared" si="2"/>
        <v>144967</v>
      </c>
      <c r="Z44" s="7">
        <f t="shared" si="3"/>
        <v>0.17199476903937425</v>
      </c>
      <c r="AA44" s="7">
        <f t="shared" si="4"/>
        <v>0.11797089665914022</v>
      </c>
      <c r="AB44" s="7">
        <f t="shared" si="5"/>
        <v>0.38917269516919806</v>
      </c>
      <c r="AC44" s="7">
        <f t="shared" si="6"/>
        <v>0.32086163913228749</v>
      </c>
      <c r="AE44" s="6">
        <f t="shared" si="7"/>
        <v>35116</v>
      </c>
      <c r="AF44" s="6">
        <f t="shared" si="8"/>
        <v>24086</v>
      </c>
      <c r="AG44" s="6">
        <f t="shared" si="9"/>
        <v>79457</v>
      </c>
      <c r="AH44" s="6">
        <f t="shared" si="10"/>
        <v>65510</v>
      </c>
    </row>
    <row r="45" spans="1:34" x14ac:dyDescent="0.2">
      <c r="A45" t="s">
        <v>22</v>
      </c>
      <c r="B45" s="4">
        <v>1494016</v>
      </c>
      <c r="C45" s="4">
        <v>78976</v>
      </c>
      <c r="D45" s="4">
        <v>79993</v>
      </c>
      <c r="E45" s="4">
        <v>80071</v>
      </c>
      <c r="F45" s="4">
        <v>80758</v>
      </c>
      <c r="G45" s="4">
        <v>84178</v>
      </c>
      <c r="H45" s="4">
        <v>83606</v>
      </c>
      <c r="I45" s="4">
        <v>83373</v>
      </c>
      <c r="J45" s="4">
        <v>82246</v>
      </c>
      <c r="K45" s="4">
        <v>82982</v>
      </c>
      <c r="L45" s="4">
        <v>82631</v>
      </c>
      <c r="M45" s="4">
        <v>82929</v>
      </c>
      <c r="N45" s="4">
        <v>84580</v>
      </c>
      <c r="O45" s="4">
        <v>86392</v>
      </c>
      <c r="P45" s="4">
        <v>85076</v>
      </c>
      <c r="Q45" s="4">
        <v>83837</v>
      </c>
      <c r="R45" s="4">
        <v>82932</v>
      </c>
      <c r="S45" s="4">
        <v>83997</v>
      </c>
      <c r="T45" s="4">
        <v>85459</v>
      </c>
      <c r="V45" s="6">
        <f t="shared" si="0"/>
        <v>582347</v>
      </c>
      <c r="W45" s="6">
        <f t="shared" si="1"/>
        <v>507693</v>
      </c>
      <c r="X45" s="6">
        <f t="shared" si="2"/>
        <v>1090040</v>
      </c>
      <c r="Z45" s="7">
        <f t="shared" si="3"/>
        <v>0.15999828649760109</v>
      </c>
      <c r="AA45" s="7">
        <f t="shared" si="4"/>
        <v>0.11039774674434544</v>
      </c>
      <c r="AB45" s="7">
        <f t="shared" si="5"/>
        <v>0.38978632089616178</v>
      </c>
      <c r="AC45" s="7">
        <f t="shared" si="6"/>
        <v>0.33981764586189173</v>
      </c>
      <c r="AE45" s="6">
        <f t="shared" si="7"/>
        <v>239040</v>
      </c>
      <c r="AF45" s="6">
        <f t="shared" si="8"/>
        <v>164936</v>
      </c>
      <c r="AG45" s="6">
        <f t="shared" si="9"/>
        <v>582347</v>
      </c>
      <c r="AH45" s="6">
        <f t="shared" si="10"/>
        <v>507693</v>
      </c>
    </row>
    <row r="46" spans="1:34" x14ac:dyDescent="0.2">
      <c r="A46" t="s">
        <v>23</v>
      </c>
      <c r="B46" s="4">
        <v>6985639</v>
      </c>
      <c r="C46" s="4">
        <v>385930</v>
      </c>
      <c r="D46" s="4">
        <v>381791</v>
      </c>
      <c r="E46" s="4">
        <v>389283</v>
      </c>
      <c r="F46" s="4">
        <v>387569</v>
      </c>
      <c r="G46" s="4">
        <v>397272</v>
      </c>
      <c r="H46" s="4">
        <v>397104</v>
      </c>
      <c r="I46" s="4">
        <v>396093</v>
      </c>
      <c r="J46" s="4">
        <v>396099</v>
      </c>
      <c r="K46" s="4">
        <v>394517</v>
      </c>
      <c r="L46" s="4">
        <v>391071</v>
      </c>
      <c r="M46" s="4">
        <v>387325</v>
      </c>
      <c r="N46" s="4">
        <v>392909</v>
      </c>
      <c r="O46" s="4">
        <v>395184</v>
      </c>
      <c r="P46" s="4">
        <v>383511</v>
      </c>
      <c r="Q46" s="4">
        <v>379426</v>
      </c>
      <c r="R46" s="4">
        <v>378297</v>
      </c>
      <c r="S46" s="4">
        <v>374999</v>
      </c>
      <c r="T46" s="4">
        <v>377259</v>
      </c>
      <c r="V46" s="6">
        <f t="shared" si="0"/>
        <v>2755118</v>
      </c>
      <c r="W46" s="6">
        <f t="shared" si="1"/>
        <v>2288676</v>
      </c>
      <c r="X46" s="6">
        <f t="shared" si="2"/>
        <v>5043794</v>
      </c>
      <c r="Z46" s="7">
        <f t="shared" si="3"/>
        <v>0.16562607944670488</v>
      </c>
      <c r="AA46" s="7">
        <f t="shared" si="4"/>
        <v>0.11235063821648958</v>
      </c>
      <c r="AB46" s="7">
        <f t="shared" si="5"/>
        <v>0.39439742019305607</v>
      </c>
      <c r="AC46" s="7">
        <f t="shared" si="6"/>
        <v>0.3276258621437495</v>
      </c>
      <c r="AE46" s="6">
        <f t="shared" si="7"/>
        <v>1157004</v>
      </c>
      <c r="AF46" s="6">
        <f t="shared" si="8"/>
        <v>784841</v>
      </c>
      <c r="AG46" s="6">
        <f t="shared" si="9"/>
        <v>2755118</v>
      </c>
      <c r="AH46" s="6">
        <f t="shared" si="10"/>
        <v>2288676</v>
      </c>
    </row>
    <row r="47" spans="1:34" x14ac:dyDescent="0.2">
      <c r="A47" t="s">
        <v>24</v>
      </c>
      <c r="B47" s="4">
        <v>887972</v>
      </c>
      <c r="C47" s="4">
        <v>50276</v>
      </c>
      <c r="D47" s="4">
        <v>49804</v>
      </c>
      <c r="E47" s="4">
        <v>52182</v>
      </c>
      <c r="F47" s="4">
        <v>52572</v>
      </c>
      <c r="G47" s="4">
        <v>53014</v>
      </c>
      <c r="H47" s="4">
        <v>52808</v>
      </c>
      <c r="I47" s="4">
        <v>51957</v>
      </c>
      <c r="J47" s="4">
        <v>51742</v>
      </c>
      <c r="K47" s="4">
        <v>50841</v>
      </c>
      <c r="L47" s="4">
        <v>50603</v>
      </c>
      <c r="M47" s="4">
        <v>48425</v>
      </c>
      <c r="N47" s="4">
        <v>48710</v>
      </c>
      <c r="O47" s="4">
        <v>48740</v>
      </c>
      <c r="P47" s="4">
        <v>46814</v>
      </c>
      <c r="Q47" s="4">
        <v>45868</v>
      </c>
      <c r="R47" s="4">
        <v>45282</v>
      </c>
      <c r="S47" s="4">
        <v>43934</v>
      </c>
      <c r="T47" s="4">
        <v>44400</v>
      </c>
      <c r="V47" s="6">
        <f t="shared" si="0"/>
        <v>355086</v>
      </c>
      <c r="W47" s="6">
        <f t="shared" si="1"/>
        <v>275038</v>
      </c>
      <c r="X47" s="6">
        <f t="shared" si="2"/>
        <v>630124</v>
      </c>
      <c r="Z47" s="7">
        <f t="shared" si="3"/>
        <v>0.17147162297910296</v>
      </c>
      <c r="AA47" s="7">
        <f t="shared" si="4"/>
        <v>0.1189069024698977</v>
      </c>
      <c r="AB47" s="7">
        <f t="shared" si="5"/>
        <v>0.39988423058384726</v>
      </c>
      <c r="AC47" s="7">
        <f t="shared" si="6"/>
        <v>0.30973724396715213</v>
      </c>
      <c r="AE47" s="6">
        <f t="shared" si="7"/>
        <v>152262</v>
      </c>
      <c r="AF47" s="6">
        <f t="shared" si="8"/>
        <v>105586</v>
      </c>
      <c r="AG47" s="6">
        <f t="shared" si="9"/>
        <v>355086</v>
      </c>
      <c r="AH47" s="6">
        <f t="shared" si="10"/>
        <v>275038</v>
      </c>
    </row>
    <row r="48" spans="1:34" x14ac:dyDescent="0.2">
      <c r="A48" t="s">
        <v>25</v>
      </c>
      <c r="B48" s="4">
        <v>123951</v>
      </c>
      <c r="C48" s="4">
        <v>5783</v>
      </c>
      <c r="D48" s="4">
        <v>6120</v>
      </c>
      <c r="E48" s="4">
        <v>5982</v>
      </c>
      <c r="F48" s="4">
        <v>6174</v>
      </c>
      <c r="G48" s="4">
        <v>6462</v>
      </c>
      <c r="H48" s="4">
        <v>6721</v>
      </c>
      <c r="I48" s="4">
        <v>6533</v>
      </c>
      <c r="J48" s="4">
        <v>6777</v>
      </c>
      <c r="K48" s="4">
        <v>6860</v>
      </c>
      <c r="L48" s="4">
        <v>7043</v>
      </c>
      <c r="M48" s="4">
        <v>6854</v>
      </c>
      <c r="N48" s="4">
        <v>6985</v>
      </c>
      <c r="O48" s="4">
        <v>7415</v>
      </c>
      <c r="P48" s="4">
        <v>7410</v>
      </c>
      <c r="Q48" s="4">
        <v>7557</v>
      </c>
      <c r="R48" s="4">
        <v>7536</v>
      </c>
      <c r="S48" s="4">
        <v>7508</v>
      </c>
      <c r="T48" s="4">
        <v>8231</v>
      </c>
      <c r="V48" s="6">
        <f t="shared" si="0"/>
        <v>47773</v>
      </c>
      <c r="W48" s="6">
        <f t="shared" si="1"/>
        <v>45657</v>
      </c>
      <c r="X48" s="6">
        <f t="shared" si="2"/>
        <v>93430</v>
      </c>
      <c r="Z48" s="7">
        <f t="shared" si="3"/>
        <v>0.14429088914167695</v>
      </c>
      <c r="AA48" s="7">
        <f t="shared" si="4"/>
        <v>0.10194350993537769</v>
      </c>
      <c r="AB48" s="7">
        <f t="shared" si="5"/>
        <v>0.38541843147695459</v>
      </c>
      <c r="AC48" s="7">
        <f t="shared" si="6"/>
        <v>0.36834716944599077</v>
      </c>
      <c r="AE48" s="6">
        <f t="shared" si="7"/>
        <v>17885</v>
      </c>
      <c r="AF48" s="6">
        <f t="shared" si="8"/>
        <v>12636</v>
      </c>
      <c r="AG48" s="6">
        <f t="shared" si="9"/>
        <v>47773</v>
      </c>
      <c r="AH48" s="6">
        <f t="shared" si="10"/>
        <v>45657</v>
      </c>
    </row>
    <row r="49" spans="1:34" x14ac:dyDescent="0.2">
      <c r="A49" t="s">
        <v>26</v>
      </c>
      <c r="B49" s="4">
        <v>1856737</v>
      </c>
      <c r="C49" s="4">
        <v>100810</v>
      </c>
      <c r="D49" s="4">
        <v>102056</v>
      </c>
      <c r="E49" s="4">
        <v>101495</v>
      </c>
      <c r="F49" s="4">
        <v>100519</v>
      </c>
      <c r="G49" s="4">
        <v>104722</v>
      </c>
      <c r="H49" s="4">
        <v>104249</v>
      </c>
      <c r="I49" s="4">
        <v>104205</v>
      </c>
      <c r="J49" s="4">
        <v>103848</v>
      </c>
      <c r="K49" s="4">
        <v>103848</v>
      </c>
      <c r="L49" s="4">
        <v>102764</v>
      </c>
      <c r="M49" s="4">
        <v>101991</v>
      </c>
      <c r="N49" s="4">
        <v>103907</v>
      </c>
      <c r="O49" s="4">
        <v>105347</v>
      </c>
      <c r="P49" s="4">
        <v>103125</v>
      </c>
      <c r="Q49" s="4">
        <v>102402</v>
      </c>
      <c r="R49" s="4">
        <v>102788</v>
      </c>
      <c r="S49" s="4">
        <v>102427</v>
      </c>
      <c r="T49" s="4">
        <v>106234</v>
      </c>
      <c r="V49" s="6">
        <f t="shared" si="0"/>
        <v>724812</v>
      </c>
      <c r="W49" s="6">
        <f t="shared" si="1"/>
        <v>622323</v>
      </c>
      <c r="X49" s="6">
        <f t="shared" si="2"/>
        <v>1347135</v>
      </c>
      <c r="Z49" s="7">
        <f t="shared" si="3"/>
        <v>0.16392251568208099</v>
      </c>
      <c r="AA49" s="7">
        <f t="shared" si="4"/>
        <v>0.11053854153819308</v>
      </c>
      <c r="AB49" s="7">
        <f t="shared" si="5"/>
        <v>0.3903686951894641</v>
      </c>
      <c r="AC49" s="7">
        <f t="shared" si="6"/>
        <v>0.33517024759026182</v>
      </c>
      <c r="AE49" s="6">
        <f t="shared" si="7"/>
        <v>304361</v>
      </c>
      <c r="AF49" s="6">
        <f t="shared" si="8"/>
        <v>205241</v>
      </c>
      <c r="AG49" s="6">
        <f t="shared" si="9"/>
        <v>724812</v>
      </c>
      <c r="AH49" s="6">
        <f t="shared" si="10"/>
        <v>622323</v>
      </c>
    </row>
    <row r="50" spans="1:34" x14ac:dyDescent="0.2">
      <c r="A50" t="s">
        <v>27</v>
      </c>
      <c r="B50" s="4">
        <v>1584967</v>
      </c>
      <c r="C50" s="4">
        <v>87402</v>
      </c>
      <c r="D50" s="4">
        <v>87872</v>
      </c>
      <c r="E50" s="4">
        <v>88823</v>
      </c>
      <c r="F50" s="4">
        <v>88641</v>
      </c>
      <c r="G50" s="4">
        <v>90419</v>
      </c>
      <c r="H50" s="4">
        <v>90000</v>
      </c>
      <c r="I50" s="4">
        <v>87933</v>
      </c>
      <c r="J50" s="4">
        <v>87542</v>
      </c>
      <c r="K50" s="4">
        <v>86784</v>
      </c>
      <c r="L50" s="4">
        <v>86077</v>
      </c>
      <c r="M50" s="4">
        <v>85350</v>
      </c>
      <c r="N50" s="4">
        <v>87728</v>
      </c>
      <c r="O50" s="4">
        <v>88859</v>
      </c>
      <c r="P50" s="4">
        <v>88067</v>
      </c>
      <c r="Q50" s="4">
        <v>88091</v>
      </c>
      <c r="R50" s="4">
        <v>87751</v>
      </c>
      <c r="S50" s="4">
        <v>87847</v>
      </c>
      <c r="T50" s="4">
        <v>89781</v>
      </c>
      <c r="V50" s="6">
        <f t="shared" si="0"/>
        <v>611414</v>
      </c>
      <c r="W50" s="6">
        <f t="shared" si="1"/>
        <v>530396</v>
      </c>
      <c r="X50" s="6">
        <f t="shared" si="2"/>
        <v>1141810</v>
      </c>
      <c r="Z50" s="7">
        <f t="shared" si="3"/>
        <v>0.16662618212240382</v>
      </c>
      <c r="AA50" s="7">
        <f t="shared" si="4"/>
        <v>0.1129739609720581</v>
      </c>
      <c r="AB50" s="7">
        <f t="shared" si="5"/>
        <v>0.38575818928722178</v>
      </c>
      <c r="AC50" s="7">
        <f t="shared" si="6"/>
        <v>0.33464166761831632</v>
      </c>
      <c r="AE50" s="6">
        <f t="shared" si="7"/>
        <v>264097</v>
      </c>
      <c r="AF50" s="6">
        <f t="shared" si="8"/>
        <v>179060</v>
      </c>
      <c r="AG50" s="6">
        <f t="shared" si="9"/>
        <v>611414</v>
      </c>
      <c r="AH50" s="6">
        <f t="shared" si="10"/>
        <v>530396</v>
      </c>
    </row>
    <row r="51" spans="1:34" x14ac:dyDescent="0.2">
      <c r="A51" t="s">
        <v>28</v>
      </c>
      <c r="B51" s="4">
        <v>384041</v>
      </c>
      <c r="C51" s="4">
        <v>20152</v>
      </c>
      <c r="D51" s="4">
        <v>20552</v>
      </c>
      <c r="E51" s="4">
        <v>20390</v>
      </c>
      <c r="F51" s="4">
        <v>20508</v>
      </c>
      <c r="G51" s="4">
        <v>21469</v>
      </c>
      <c r="H51" s="4">
        <v>21178</v>
      </c>
      <c r="I51" s="4">
        <v>21056</v>
      </c>
      <c r="J51" s="4">
        <v>21040</v>
      </c>
      <c r="K51" s="4">
        <v>21242</v>
      </c>
      <c r="L51" s="4">
        <v>21336</v>
      </c>
      <c r="M51" s="4">
        <v>21325</v>
      </c>
      <c r="N51" s="4">
        <v>21480</v>
      </c>
      <c r="O51" s="4">
        <v>22394</v>
      </c>
      <c r="P51" s="4">
        <v>21626</v>
      </c>
      <c r="Q51" s="4">
        <v>21941</v>
      </c>
      <c r="R51" s="4">
        <v>21839</v>
      </c>
      <c r="S51" s="4">
        <v>22068</v>
      </c>
      <c r="T51" s="4">
        <v>22445</v>
      </c>
      <c r="V51" s="6">
        <f t="shared" si="0"/>
        <v>148657</v>
      </c>
      <c r="W51" s="6">
        <f t="shared" si="1"/>
        <v>132313</v>
      </c>
      <c r="X51" s="6">
        <f t="shared" si="2"/>
        <v>280970</v>
      </c>
      <c r="Z51" s="7">
        <f t="shared" si="3"/>
        <v>0.15908197301850582</v>
      </c>
      <c r="AA51" s="7">
        <f t="shared" si="4"/>
        <v>0.1093034337479592</v>
      </c>
      <c r="AB51" s="7">
        <f t="shared" si="5"/>
        <v>0.38708627464255119</v>
      </c>
      <c r="AC51" s="7">
        <f t="shared" si="6"/>
        <v>0.34452831859098376</v>
      </c>
      <c r="AE51" s="6">
        <f t="shared" si="7"/>
        <v>61094</v>
      </c>
      <c r="AF51" s="6">
        <f t="shared" si="8"/>
        <v>41977</v>
      </c>
      <c r="AG51" s="6">
        <f t="shared" si="9"/>
        <v>148657</v>
      </c>
      <c r="AH51" s="6">
        <f t="shared" si="10"/>
        <v>132313</v>
      </c>
    </row>
    <row r="52" spans="1:34" x14ac:dyDescent="0.2">
      <c r="A52" t="s">
        <v>29</v>
      </c>
      <c r="B52" s="4">
        <v>1317557</v>
      </c>
      <c r="C52" s="4">
        <v>67853</v>
      </c>
      <c r="D52" s="4">
        <v>69757</v>
      </c>
      <c r="E52" s="4">
        <v>70300</v>
      </c>
      <c r="F52" s="4">
        <v>70183</v>
      </c>
      <c r="G52" s="4">
        <v>72488</v>
      </c>
      <c r="H52" s="4">
        <v>73620</v>
      </c>
      <c r="I52" s="4">
        <v>73031</v>
      </c>
      <c r="J52" s="4">
        <v>73080</v>
      </c>
      <c r="K52" s="4">
        <v>74264</v>
      </c>
      <c r="L52" s="4">
        <v>72960</v>
      </c>
      <c r="M52" s="4">
        <v>73282</v>
      </c>
      <c r="N52" s="4">
        <v>74429</v>
      </c>
      <c r="O52" s="4">
        <v>76151</v>
      </c>
      <c r="P52" s="4">
        <v>74637</v>
      </c>
      <c r="Q52" s="4">
        <v>74718</v>
      </c>
      <c r="R52" s="4">
        <v>74885</v>
      </c>
      <c r="S52" s="4">
        <v>75084</v>
      </c>
      <c r="T52" s="4">
        <v>76835</v>
      </c>
      <c r="V52" s="6">
        <f t="shared" si="0"/>
        <v>514666</v>
      </c>
      <c r="W52" s="6">
        <f t="shared" si="1"/>
        <v>452310</v>
      </c>
      <c r="X52" s="6">
        <f t="shared" si="2"/>
        <v>966976</v>
      </c>
      <c r="Z52" s="7">
        <f t="shared" si="3"/>
        <v>0.15779962460827121</v>
      </c>
      <c r="AA52" s="7">
        <f t="shared" si="4"/>
        <v>0.1082844992664454</v>
      </c>
      <c r="AB52" s="7">
        <f t="shared" si="5"/>
        <v>0.39062143042008807</v>
      </c>
      <c r="AC52" s="7">
        <f t="shared" si="6"/>
        <v>0.34329444570519529</v>
      </c>
      <c r="AE52" s="6">
        <f t="shared" si="7"/>
        <v>207910</v>
      </c>
      <c r="AF52" s="6">
        <f t="shared" si="8"/>
        <v>142671</v>
      </c>
      <c r="AG52" s="6">
        <f t="shared" si="9"/>
        <v>514666</v>
      </c>
      <c r="AH52" s="6">
        <f t="shared" si="10"/>
        <v>452310</v>
      </c>
    </row>
    <row r="53" spans="1:34" x14ac:dyDescent="0.2">
      <c r="A53" t="s">
        <v>30</v>
      </c>
      <c r="B53" s="4">
        <v>135490</v>
      </c>
      <c r="C53" s="4">
        <v>7450</v>
      </c>
      <c r="D53" s="4">
        <v>7268</v>
      </c>
      <c r="E53" s="4">
        <v>7733</v>
      </c>
      <c r="F53" s="4">
        <v>7939</v>
      </c>
      <c r="G53" s="4">
        <v>8202</v>
      </c>
      <c r="H53" s="4">
        <v>8231</v>
      </c>
      <c r="I53" s="4">
        <v>7895</v>
      </c>
      <c r="J53" s="4">
        <v>7728</v>
      </c>
      <c r="K53" s="4">
        <v>7563</v>
      </c>
      <c r="L53" s="4">
        <v>7478</v>
      </c>
      <c r="M53" s="4">
        <v>7214</v>
      </c>
      <c r="N53" s="4">
        <v>7212</v>
      </c>
      <c r="O53" s="4">
        <v>7365</v>
      </c>
      <c r="P53" s="4">
        <v>7175</v>
      </c>
      <c r="Q53" s="4">
        <v>7320</v>
      </c>
      <c r="R53" s="4">
        <v>7260</v>
      </c>
      <c r="S53" s="4">
        <v>7117</v>
      </c>
      <c r="T53" s="4">
        <v>7340</v>
      </c>
      <c r="V53" s="6">
        <f t="shared" si="0"/>
        <v>53321</v>
      </c>
      <c r="W53" s="6">
        <f t="shared" si="1"/>
        <v>43577</v>
      </c>
      <c r="X53" s="6">
        <f t="shared" si="2"/>
        <v>96898</v>
      </c>
      <c r="Z53" s="7">
        <f t="shared" si="3"/>
        <v>0.16570226584987821</v>
      </c>
      <c r="AA53" s="7">
        <f t="shared" si="4"/>
        <v>0.11913056314119123</v>
      </c>
      <c r="AB53" s="7">
        <f t="shared" si="5"/>
        <v>0.39354195881614878</v>
      </c>
      <c r="AC53" s="7">
        <f t="shared" si="6"/>
        <v>0.32162521219278173</v>
      </c>
      <c r="AE53" s="6">
        <f t="shared" si="7"/>
        <v>22451</v>
      </c>
      <c r="AF53" s="6">
        <f t="shared" si="8"/>
        <v>16141</v>
      </c>
      <c r="AG53" s="6">
        <f t="shared" si="9"/>
        <v>53321</v>
      </c>
      <c r="AH53" s="6">
        <f t="shared" si="10"/>
        <v>43577</v>
      </c>
    </row>
    <row r="54" spans="1:34" x14ac:dyDescent="0.2">
      <c r="T54" s="4"/>
    </row>
    <row r="55" spans="1:34" x14ac:dyDescent="0.2">
      <c r="A55" t="s">
        <v>39</v>
      </c>
      <c r="B55" s="4">
        <f t="shared" ref="B55:X55" si="12">SUM(B4:B53)</f>
        <v>73618608</v>
      </c>
      <c r="C55" s="4">
        <f t="shared" si="12"/>
        <v>3934925.6810046975</v>
      </c>
      <c r="D55" s="4">
        <f t="shared" si="12"/>
        <v>3973465.0032023685</v>
      </c>
      <c r="E55" s="4">
        <f t="shared" si="12"/>
        <v>3972188.2553466358</v>
      </c>
      <c r="F55" s="4">
        <f t="shared" si="12"/>
        <v>3974818.4795141816</v>
      </c>
      <c r="G55" s="4">
        <f t="shared" si="12"/>
        <v>4104748.6613754812</v>
      </c>
      <c r="H55" s="4">
        <f t="shared" si="12"/>
        <v>4125542.6239618082</v>
      </c>
      <c r="I55" s="4">
        <f t="shared" si="12"/>
        <v>4091988.1831185808</v>
      </c>
      <c r="J55" s="4">
        <f t="shared" si="12"/>
        <v>4079159.9786412967</v>
      </c>
      <c r="K55" s="4">
        <f t="shared" si="12"/>
        <v>4088202.2425649008</v>
      </c>
      <c r="L55" s="4">
        <f t="shared" si="12"/>
        <v>4058182.2125146394</v>
      </c>
      <c r="M55" s="4">
        <f t="shared" si="12"/>
        <v>4040073.2062167916</v>
      </c>
      <c r="N55" s="4">
        <f t="shared" si="12"/>
        <v>4139590.714512012</v>
      </c>
      <c r="O55" s="4">
        <f t="shared" si="12"/>
        <v>4201875.1489703432</v>
      </c>
      <c r="P55" s="4">
        <f t="shared" si="12"/>
        <v>4131323.6637178673</v>
      </c>
      <c r="Q55" s="4">
        <f t="shared" si="12"/>
        <v>4131062.216489743</v>
      </c>
      <c r="R55" s="4">
        <f t="shared" si="12"/>
        <v>4139628.1057115858</v>
      </c>
      <c r="S55" s="4">
        <f t="shared" si="12"/>
        <v>4169986.683912117</v>
      </c>
      <c r="T55" s="4">
        <f t="shared" si="12"/>
        <v>4261846.9392249491</v>
      </c>
      <c r="V55" s="4">
        <f t="shared" si="12"/>
        <v>28622739.161530029</v>
      </c>
      <c r="W55" s="4">
        <f t="shared" si="12"/>
        <v>25035722.758026607</v>
      </c>
      <c r="X55" s="4">
        <f t="shared" si="12"/>
        <v>53658461.919556633</v>
      </c>
      <c r="AE55" s="4">
        <f t="shared" ref="AE55:AH55" si="13">SUM(AE4:AE53)</f>
        <v>11880578.939553702</v>
      </c>
      <c r="AF55" s="4">
        <f t="shared" si="13"/>
        <v>8079567.1408896632</v>
      </c>
      <c r="AG55" s="4">
        <f t="shared" si="13"/>
        <v>28622739.161530029</v>
      </c>
      <c r="AH55" s="4">
        <f t="shared" si="13"/>
        <v>25035722.758026607</v>
      </c>
    </row>
    <row r="56" spans="1:34" x14ac:dyDescent="0.2">
      <c r="T56" s="4"/>
    </row>
    <row r="58" spans="1:34" x14ac:dyDescent="0.2">
      <c r="A58" t="s">
        <v>72</v>
      </c>
      <c r="B58" s="4">
        <f t="shared" ref="B58:T58" si="14">SUM(B7:B14)+SUM(B16:B53)</f>
        <v>70259555</v>
      </c>
      <c r="C58" s="4">
        <f t="shared" si="14"/>
        <v>3753904</v>
      </c>
      <c r="D58" s="4">
        <f t="shared" si="14"/>
        <v>3793644</v>
      </c>
      <c r="E58" s="4">
        <f t="shared" si="14"/>
        <v>3790392</v>
      </c>
      <c r="F58" s="4">
        <f t="shared" si="14"/>
        <v>3791911</v>
      </c>
      <c r="G58" s="4">
        <f t="shared" si="14"/>
        <v>3914954</v>
      </c>
      <c r="H58" s="4">
        <f t="shared" si="14"/>
        <v>3935203</v>
      </c>
      <c r="I58" s="4">
        <f t="shared" si="14"/>
        <v>3904830</v>
      </c>
      <c r="J58" s="4">
        <f t="shared" si="14"/>
        <v>3893269</v>
      </c>
      <c r="K58" s="4">
        <f t="shared" si="14"/>
        <v>3902699</v>
      </c>
      <c r="L58" s="4">
        <f t="shared" si="14"/>
        <v>3872723</v>
      </c>
      <c r="M58" s="4">
        <f t="shared" si="14"/>
        <v>3855925</v>
      </c>
      <c r="N58" s="4">
        <f t="shared" si="14"/>
        <v>3948392</v>
      </c>
      <c r="O58" s="4">
        <f t="shared" si="14"/>
        <v>4008735</v>
      </c>
      <c r="P58" s="4">
        <f t="shared" si="14"/>
        <v>3943114</v>
      </c>
      <c r="Q58" s="4">
        <f t="shared" si="14"/>
        <v>3942711</v>
      </c>
      <c r="R58" s="4">
        <f t="shared" si="14"/>
        <v>3952738</v>
      </c>
      <c r="S58" s="4">
        <f t="shared" si="14"/>
        <v>3983957</v>
      </c>
      <c r="T58" s="4">
        <f t="shared" si="14"/>
        <v>4070454</v>
      </c>
    </row>
    <row r="59" spans="1:34" x14ac:dyDescent="0.2">
      <c r="A59" t="s">
        <v>71</v>
      </c>
      <c r="C59" s="16">
        <f>+C58/$B$58</f>
        <v>5.342908875525898E-2</v>
      </c>
      <c r="D59" s="16">
        <f t="shared" ref="D59:T59" si="15">+D58/$B$58</f>
        <v>5.3994705773470951E-2</v>
      </c>
      <c r="E59" s="16">
        <f t="shared" si="15"/>
        <v>5.3948420254013849E-2</v>
      </c>
      <c r="F59" s="16">
        <f t="shared" si="15"/>
        <v>5.397004008920922E-2</v>
      </c>
      <c r="G59" s="16">
        <f t="shared" si="15"/>
        <v>5.5721303671792399E-2</v>
      </c>
      <c r="H59" s="16">
        <f t="shared" si="15"/>
        <v>5.6009506464992552E-2</v>
      </c>
      <c r="I59" s="16">
        <f t="shared" si="15"/>
        <v>5.5577209391662101E-2</v>
      </c>
      <c r="J59" s="16">
        <f t="shared" si="15"/>
        <v>5.5412662377380559E-2</v>
      </c>
      <c r="K59" s="16">
        <f t="shared" si="15"/>
        <v>5.5546878997454509E-2</v>
      </c>
      <c r="L59" s="16">
        <f t="shared" si="15"/>
        <v>5.5120232401130349E-2</v>
      </c>
      <c r="M59" s="16">
        <f t="shared" si="15"/>
        <v>5.4881147482360226E-2</v>
      </c>
      <c r="N59" s="16">
        <f t="shared" si="15"/>
        <v>5.6197224704881775E-2</v>
      </c>
      <c r="O59" s="16">
        <f t="shared" si="15"/>
        <v>5.7056082976899014E-2</v>
      </c>
      <c r="P59" s="16">
        <f t="shared" si="15"/>
        <v>5.6122103249871137E-2</v>
      </c>
      <c r="Q59" s="16">
        <f t="shared" si="15"/>
        <v>5.6116367375227467E-2</v>
      </c>
      <c r="R59" s="16">
        <f t="shared" si="15"/>
        <v>5.6259081060220206E-2</v>
      </c>
      <c r="S59" s="16">
        <f t="shared" si="15"/>
        <v>5.6703419200420498E-2</v>
      </c>
      <c r="T59" s="16">
        <f t="shared" si="15"/>
        <v>5.7934525773754186E-2</v>
      </c>
    </row>
    <row r="60" spans="1:34" x14ac:dyDescent="0.2">
      <c r="N60" s="27"/>
      <c r="T60" s="6"/>
    </row>
    <row r="61" spans="1:34" x14ac:dyDescent="0.2">
      <c r="A61" t="s">
        <v>68</v>
      </c>
      <c r="C61" s="4">
        <v>40612</v>
      </c>
      <c r="D61" s="4">
        <v>40386</v>
      </c>
      <c r="E61" s="4">
        <v>42567</v>
      </c>
      <c r="F61" s="4">
        <v>42961</v>
      </c>
      <c r="G61" s="4">
        <v>43071</v>
      </c>
      <c r="H61" s="4">
        <v>44287</v>
      </c>
      <c r="I61" s="4">
        <v>45242</v>
      </c>
      <c r="J61" s="4">
        <v>45724</v>
      </c>
      <c r="K61" s="4">
        <v>45109</v>
      </c>
      <c r="L61" s="4">
        <v>45491</v>
      </c>
      <c r="M61" s="4">
        <v>46976</v>
      </c>
      <c r="N61" s="27">
        <v>50540</v>
      </c>
      <c r="O61" s="4">
        <v>52486</v>
      </c>
      <c r="P61" s="4">
        <v>50515</v>
      </c>
      <c r="Q61" s="4">
        <v>52211</v>
      </c>
      <c r="R61" s="4">
        <v>53076</v>
      </c>
      <c r="S61" s="4">
        <v>53596</v>
      </c>
      <c r="T61" s="4">
        <v>54513</v>
      </c>
    </row>
    <row r="62" spans="1:34" x14ac:dyDescent="0.2">
      <c r="A62" t="s">
        <v>69</v>
      </c>
      <c r="C62" s="4">
        <f>+C58+C61</f>
        <v>3794516</v>
      </c>
      <c r="D62" s="4">
        <f t="shared" ref="D62:T62" si="16">+D58+D61</f>
        <v>3834030</v>
      </c>
      <c r="E62" s="4">
        <f t="shared" si="16"/>
        <v>3832959</v>
      </c>
      <c r="F62" s="4">
        <f t="shared" si="16"/>
        <v>3834872</v>
      </c>
      <c r="G62" s="4">
        <f t="shared" si="16"/>
        <v>3958025</v>
      </c>
      <c r="H62" s="4">
        <f t="shared" si="16"/>
        <v>3979490</v>
      </c>
      <c r="I62" s="4">
        <f t="shared" si="16"/>
        <v>3950072</v>
      </c>
      <c r="J62" s="4">
        <f t="shared" si="16"/>
        <v>3938993</v>
      </c>
      <c r="K62" s="4">
        <f t="shared" si="16"/>
        <v>3947808</v>
      </c>
      <c r="L62" s="4">
        <f t="shared" si="16"/>
        <v>3918214</v>
      </c>
      <c r="M62" s="4">
        <f t="shared" si="16"/>
        <v>3902901</v>
      </c>
      <c r="N62" s="4">
        <f t="shared" si="16"/>
        <v>3998932</v>
      </c>
      <c r="O62" s="4">
        <f t="shared" si="16"/>
        <v>4061221</v>
      </c>
      <c r="P62" s="4">
        <f t="shared" si="16"/>
        <v>3993629</v>
      </c>
      <c r="Q62" s="4">
        <f t="shared" si="16"/>
        <v>3994922</v>
      </c>
      <c r="R62" s="4">
        <f t="shared" si="16"/>
        <v>4005814</v>
      </c>
      <c r="S62" s="4">
        <f t="shared" si="16"/>
        <v>4037553</v>
      </c>
      <c r="T62" s="4">
        <f t="shared" si="16"/>
        <v>4124967</v>
      </c>
    </row>
  </sheetData>
  <hyperlinks>
    <hyperlink ref="B1" r:id="rId1"/>
  </hyperlinks>
  <pageMargins left="0.7" right="0.7" top="0.75" bottom="0.75" header="0.3" footer="0.3"/>
  <ignoredErrors>
    <ignoredError sqref="C58:T58 V4:V53 W4:W53"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31</vt:i4>
      </vt:variant>
    </vt:vector>
  </HeadingPairs>
  <TitlesOfParts>
    <vt:vector size="31" baseType="lpstr">
      <vt:lpstr>Summary</vt:lpstr>
      <vt:lpstr>Prenatal</vt:lpstr>
      <vt:lpstr>Summary 0-2+</vt:lpstr>
      <vt:lpstr>Summary Prenatal to 2</vt:lpstr>
      <vt:lpstr>Summary 3-4+</vt:lpstr>
      <vt:lpstr>Summary Prenatal to 4 </vt:lpstr>
      <vt:lpstr>Summary 5-11+</vt:lpstr>
      <vt:lpstr>Summary 12-18</vt:lpstr>
      <vt:lpstr>Pop Data</vt:lpstr>
      <vt:lpstr>Low Income Pop</vt:lpstr>
      <vt:lpstr>K-12 Educ</vt:lpstr>
      <vt:lpstr>Early Intervention</vt:lpstr>
      <vt:lpstr>Head Start</vt:lpstr>
      <vt:lpstr>PreSchool</vt:lpstr>
      <vt:lpstr>Medicaid</vt:lpstr>
      <vt:lpstr>CHIP</vt:lpstr>
      <vt:lpstr>Mental Health</vt:lpstr>
      <vt:lpstr>Immunizations</vt:lpstr>
      <vt:lpstr>MCHBG</vt:lpstr>
      <vt:lpstr>Title IV-E</vt:lpstr>
      <vt:lpstr>CW - State and Local Share</vt:lpstr>
      <vt:lpstr>Child Care &amp; Dev Fd</vt:lpstr>
      <vt:lpstr>Title IV-B</vt:lpstr>
      <vt:lpstr>Title IV-D</vt:lpstr>
      <vt:lpstr>Title XX</vt:lpstr>
      <vt:lpstr>TANF</vt:lpstr>
      <vt:lpstr>Nutrition</vt:lpstr>
      <vt:lpstr>Juvenile Justice</vt:lpstr>
      <vt:lpstr>Tax Credits</vt:lpstr>
      <vt:lpstr>Sheet2</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zozotee</dc:creator>
  <cp:lastModifiedBy>patricia schaefer</cp:lastModifiedBy>
  <cp:lastPrinted>2015-09-30T13:26:32Z</cp:lastPrinted>
  <dcterms:created xsi:type="dcterms:W3CDTF">2015-03-19T15:05:20Z</dcterms:created>
  <dcterms:modified xsi:type="dcterms:W3CDTF">2017-06-06T18:38:13Z</dcterms:modified>
</cp:coreProperties>
</file>